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tabRatio="599" firstSheet="3" activeTab="5"/>
  </bookViews>
  <sheets>
    <sheet name="Annexe 18-Synthèse stock-flux" sheetId="1" r:id="rId1"/>
    <sheet name="Annexe 18 - H 1" sheetId="2" r:id="rId2"/>
    <sheet name="Annexe 18 - H 2" sheetId="3" r:id="rId3"/>
    <sheet name="Annexe 18 - H 3" sheetId="4" r:id="rId4"/>
    <sheet name="Annexe 18 - H 4" sheetId="5" r:id="rId5"/>
    <sheet name="Annexe 18 - H 5" sheetId="6" r:id="rId6"/>
    <sheet name="Annexe 14- Synthèse stock" sheetId="7" r:id="rId7"/>
    <sheet name="Annexe 14 - H 1" sheetId="8" r:id="rId8"/>
    <sheet name="Annexe 14 - H 2" sheetId="9" r:id="rId9"/>
    <sheet name="Annexe 14 - H 3" sheetId="10" r:id="rId10"/>
    <sheet name="Annexe 14 - H 4" sheetId="11" r:id="rId11"/>
    <sheet name="Annexe 14 - H 5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<sst xmlns="http://schemas.openxmlformats.org/spreadsheetml/2006/main" count="321" uniqueCount="69">
  <si>
    <t>D</t>
  </si>
  <si>
    <t>Coût brut du dispositif après application de la cotation (M€)</t>
  </si>
  <si>
    <t>E</t>
  </si>
  <si>
    <t>F=D - E</t>
  </si>
  <si>
    <t>Coût net pour les financeurs publics</t>
  </si>
  <si>
    <t>H=F - G</t>
  </si>
  <si>
    <t xml:space="preserve">Impact de la réforme pour les finances publiques </t>
  </si>
  <si>
    <t>Impact sur le budget de l'Etat</t>
  </si>
  <si>
    <t>Montant du prélèvement (en M€)</t>
  </si>
  <si>
    <t>H 1</t>
  </si>
  <si>
    <t>H 2</t>
  </si>
  <si>
    <t>H 3</t>
  </si>
  <si>
    <t>H 4</t>
  </si>
  <si>
    <t>TPSA</t>
  </si>
  <si>
    <t>Gérance privée</t>
  </si>
  <si>
    <t>Equilibre financier de la réforme appliqué à la totalité des mesures TE/CE et TPSA et aux flux des mandats spéciaux et des gérances de tutelle en 2004</t>
  </si>
  <si>
    <t>TE-CE</t>
  </si>
  <si>
    <t>Mandats spéciaux</t>
  </si>
  <si>
    <t>Gérance hospitalière</t>
  </si>
  <si>
    <t>TOTAL</t>
  </si>
  <si>
    <t>A</t>
  </si>
  <si>
    <t xml:space="preserve">Nombre de mesures au 31/12/04 </t>
  </si>
  <si>
    <t>B</t>
  </si>
  <si>
    <t>Nombre de mesures en moyenne financées dans l'année 2004</t>
  </si>
  <si>
    <t>B (2)</t>
  </si>
  <si>
    <t>Nombre de mesures nouvelles en 2004</t>
  </si>
  <si>
    <t>stock:C=D/B/12
flux: C=D/B(2)/6</t>
  </si>
  <si>
    <t>Coût moyen brut unitaire mensuel après application de la cotation (en €)</t>
  </si>
  <si>
    <t>G</t>
  </si>
  <si>
    <t>Estimation des ressources publiques en 2004 en M€ à dispositif constant (Etat et sécurité sociale)</t>
  </si>
  <si>
    <t>Prélèvement: franchise MV et seuil 1,4 SMIC
(Taux: 9,5% et 20%) (en M€)</t>
  </si>
  <si>
    <t xml:space="preserve">passage 65 à 40 mesures </t>
  </si>
  <si>
    <t xml:space="preserve">passage 65 à 50 mesures </t>
  </si>
  <si>
    <t xml:space="preserve">Franchise MV-AAH - Seuil 1,5 SMIC - Taux 8,75 et 20 % </t>
  </si>
  <si>
    <t>Prélèvement: franchise MV et seuil 1,4 SMIC
(Taux: 7,5% et 18,5%) (en M€)</t>
  </si>
  <si>
    <t>Prélèvement: franchise MV et seuil 1,4 SMIC
(Taux: 8,5% et 19,5%) (en M€)</t>
  </si>
  <si>
    <t xml:space="preserve">passage 65 à 60 mesures </t>
  </si>
  <si>
    <t xml:space="preserve">H 5 </t>
  </si>
  <si>
    <t xml:space="preserve">passage 65 à 55 mesures </t>
  </si>
  <si>
    <t xml:space="preserve">passage 65 à 45 mesures </t>
  </si>
  <si>
    <t xml:space="preserve">Franchise MV-AAH - Seuil 1,4 SMIC - Taux 7,5 et 18,5% </t>
  </si>
  <si>
    <t xml:space="preserve">Franchise MV-AAH - Seuil 1,4 SMIC - Taux 8,5 et 19,5% </t>
  </si>
  <si>
    <t xml:space="preserve">Franchise MV-AAH - Seuil 1,5 SMIC - Taux 8 et 19,25 % </t>
  </si>
  <si>
    <t xml:space="preserve">Franchise MV-AAH - Seuil 1,4 SMIC - Taux 9,5 et 20 % </t>
  </si>
  <si>
    <t>fédérations -qualité 50-franchise MV-1,4 SMIC</t>
  </si>
  <si>
    <t xml:space="preserve">Cotation Fédérations-40 mesures-franchise MV-1,5 SMIC </t>
  </si>
  <si>
    <t xml:space="preserve">Cotation Fédérations </t>
  </si>
  <si>
    <t xml:space="preserve">Equilibre financier de la réforme appliqué à la totalité des mesures en 2004 </t>
  </si>
  <si>
    <t>C=D/B/12</t>
  </si>
  <si>
    <t xml:space="preserve">Stocks </t>
  </si>
  <si>
    <r>
      <t>Surcôut pour les finances publiques par rapport à  l'hypothèse 65 mesures - Franchise MV-1,4 SMIC soit</t>
    </r>
    <r>
      <rPr>
        <b/>
        <sz val="12"/>
        <rFont val="Times New Roman"/>
        <family val="1"/>
      </rPr>
      <t xml:space="preserve"> + 49,5 M€</t>
    </r>
  </si>
  <si>
    <r>
      <t xml:space="preserve">Surcoût pour le budget de l'Etat de l'hypothèse 65 mesures - Franchise MV-1,4 SMIC soit </t>
    </r>
    <r>
      <rPr>
        <b/>
        <sz val="12"/>
        <rFont val="Times New Roman"/>
        <family val="1"/>
      </rPr>
      <t>+ 94,8 M€</t>
    </r>
  </si>
  <si>
    <t>qualité 60-Franchise MV-1,4 SMIC</t>
  </si>
  <si>
    <t>qualité 55-Franchise MV-1,4 SMIC</t>
  </si>
  <si>
    <t>qualité 45- franchise MV-1,5 SMIC</t>
  </si>
  <si>
    <t xml:space="preserve">FLUX des gérances et mandats spéciaux </t>
  </si>
  <si>
    <t xml:space="preserve">F </t>
  </si>
  <si>
    <r>
      <t>Surcôut pour les finances publiques par rapport à  l'hypothèse 65 mesures - Franchise MV-1,4 SMIC soit + 8,6</t>
    </r>
    <r>
      <rPr>
        <b/>
        <sz val="12"/>
        <rFont val="Times New Roman"/>
        <family val="1"/>
      </rPr>
      <t xml:space="preserve"> M€</t>
    </r>
  </si>
  <si>
    <r>
      <t xml:space="preserve">Surcoût pour le budget de l'Etat de l'hypothèse 65 mesures - Franchise MV-1,4 SMIC soit </t>
    </r>
    <r>
      <rPr>
        <b/>
        <sz val="12"/>
        <rFont val="Times New Roman"/>
        <family val="1"/>
      </rPr>
      <t>+ 54 M€</t>
    </r>
  </si>
  <si>
    <t xml:space="preserve">Annexe 18 - Synthèse des hypothèses - Cotation Fédérations </t>
  </si>
  <si>
    <t xml:space="preserve">Annexe 14 - H 1- Cotation Fédérations </t>
  </si>
  <si>
    <t xml:space="preserve">Annexe 14 - H 2 - Cotation Fédérations </t>
  </si>
  <si>
    <t>qualité 50-franchise MV-1,4 SMIC</t>
  </si>
  <si>
    <t xml:space="preserve">Annexe 14 - H 3 - Cotation Fédérations </t>
  </si>
  <si>
    <t xml:space="preserve">Annexe 14 - H 4 - Cotation Fédérations </t>
  </si>
  <si>
    <r>
      <t>Annexe 14 - H 5 - Cotation Fédérations</t>
    </r>
    <r>
      <rPr>
        <sz val="12"/>
        <rFont val="Times New Roman"/>
        <family val="1"/>
      </rPr>
      <t xml:space="preserve"> </t>
    </r>
  </si>
  <si>
    <t>Prélèvement: franchise MV et seuil 1,5 SMIC
(Taux: 8% et 19,25%) (en M€)</t>
  </si>
  <si>
    <t>Prélèvement: franchise MV et seuil 1,5 SMIC
(Taux: 8,75 % et 20 % (en M€)</t>
  </si>
  <si>
    <t>Prélèvement: franchise MV et seuil 1,5 SMIC
(Taux: 8,75% et 20%) (en M€)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</si>
</sst>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\ ###\ ##0.00&quot; €&quot;;\-#\ ###\ ##0.00&quot; €&quot;"/>
    <numFmt numFmtId="180" formatCode="0.0%"/>
    <numFmt numFmtId="181" formatCode="_-* #,##0\ _€_-;\-* #,##0\ _€_-;_-* &quot;-&quot;??\ _€_-;_-@_-"/>
    <numFmt numFmtId="182" formatCode="_-* #,##0.0\ _€_-;\-* #,##0.0\ _€_-;_-* &quot;-&quot;??\ _€_-;_-@_-"/>
    <numFmt numFmtId="183" formatCode="_-* #,##0.000\ _€_-;\-* #,##0.000\ _€_-;_-* &quot;-&quot;??\ _€_-;_-@_-"/>
    <numFmt numFmtId="184" formatCode="_-* #,##0.0\ _F_-;\-* #,##0.0\ _F_-;_-* &quot;-&quot;??\ _F_-;_-@_-"/>
    <numFmt numFmtId="185" formatCode="_-* #,##0\ _F_-;\-* #,##0\ _F_-;_-* &quot;-&quot;??\ _F_-;_-@_-"/>
    <numFmt numFmtId="186" formatCode="_-* #,##0.000\ _F_-;\-* #,##0.000\ _F_-;_-* &quot;-&quot;??\ _F_-;_-@_-"/>
    <numFmt numFmtId="187" formatCode="#,##0.00_ ;\-#,##0.00\ "/>
    <numFmt numFmtId="188" formatCode="#,##0_ ;[Red]\-#,##0\ "/>
    <numFmt numFmtId="189" formatCode="#,##0.00_ ;[Red]\-#,##0.00\ "/>
    <numFmt numFmtId="190" formatCode="#,##0.0_ ;[Red]\-#,##0.0\ "/>
    <numFmt numFmtId="191" formatCode="_-* #,##0.0000\ _€_-;\-* #,##0.0000\ _€_-;_-* &quot;-&quot;??\ _€_-;_-@_-"/>
    <numFmt numFmtId="192" formatCode="0.000%"/>
    <numFmt numFmtId="193" formatCode="0.0000%"/>
    <numFmt numFmtId="194" formatCode="_-* #,##0.0\ _F_-;\-* #,##0.0\ _F_-;_-* &quot;-&quot;?\ _F_-;_-@_-"/>
    <numFmt numFmtId="195" formatCode="#,##0.0\ _€"/>
    <numFmt numFmtId="196" formatCode="#,##0\ &quot;€&quot;"/>
    <numFmt numFmtId="197" formatCode="#,##0.00\ &quot;€&quot;"/>
    <numFmt numFmtId="198" formatCode="_-* #,##0.0\ _€_-;\-* #,##0.0\ _€_-;_-* &quot;-&quot;?\ _€_-;_-@_-"/>
    <numFmt numFmtId="199" formatCode="_-* #,##0.00000\ _€_-;\-* #,##0.00000\ _€_-;_-* &quot;-&quot;??\ _€_-;_-@_-"/>
    <numFmt numFmtId="200" formatCode="_-* #,##0.000000\ _€_-;\-* #,##0.000000\ _€_-;_-* &quot;-&quot;??\ _€_-;_-@_-"/>
    <numFmt numFmtId="201" formatCode="_-* #,##0.0000000\ _€_-;\-* #,##0.0000000\ _€_-;_-* &quot;-&quot;??\ _€_-;_-@_-"/>
    <numFmt numFmtId="202" formatCode="_-* #,##0.000\ _€_-;\-* #,##0.000\ _€_-;_-* &quot;-&quot;???\ _€_-;_-@_-"/>
  </numFmts>
  <fonts count="12">
    <font>
      <sz val="10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Accounting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28" applyFont="1" applyAlignment="1">
      <alignment vertical="center"/>
      <protection/>
    </xf>
    <xf numFmtId="181" fontId="4" fillId="0" borderId="1" xfId="15" applyNumberFormat="1" applyFont="1" applyBorder="1" applyAlignment="1">
      <alignment horizontal="center" vertical="center" wrapText="1"/>
    </xf>
    <xf numFmtId="182" fontId="4" fillId="2" borderId="2" xfId="15" applyNumberFormat="1" applyFont="1" applyFill="1" applyBorder="1" applyAlignment="1">
      <alignment horizontal="center" vertical="center"/>
    </xf>
    <xf numFmtId="181" fontId="4" fillId="0" borderId="3" xfId="15" applyNumberFormat="1" applyFont="1" applyBorder="1" applyAlignment="1">
      <alignment horizontal="center" vertical="center" wrapText="1"/>
    </xf>
    <xf numFmtId="182" fontId="4" fillId="0" borderId="2" xfId="15" applyNumberFormat="1" applyFont="1" applyFill="1" applyBorder="1" applyAlignment="1">
      <alignment horizontal="center" vertical="center"/>
    </xf>
    <xf numFmtId="182" fontId="4" fillId="2" borderId="4" xfId="15" applyNumberFormat="1" applyFont="1" applyFill="1" applyBorder="1" applyAlignment="1">
      <alignment horizontal="center" vertical="center" wrapText="1"/>
    </xf>
    <xf numFmtId="182" fontId="3" fillId="0" borderId="5" xfId="15" applyNumberFormat="1" applyFont="1" applyBorder="1" applyAlignment="1">
      <alignment vertical="center"/>
    </xf>
    <xf numFmtId="182" fontId="4" fillId="0" borderId="5" xfId="15" applyNumberFormat="1" applyFont="1" applyFill="1" applyBorder="1" applyAlignment="1">
      <alignment vertical="center" wrapText="1"/>
    </xf>
    <xf numFmtId="182" fontId="3" fillId="0" borderId="6" xfId="15" applyNumberFormat="1" applyFont="1" applyBorder="1" applyAlignment="1">
      <alignment vertical="center"/>
    </xf>
    <xf numFmtId="182" fontId="3" fillId="0" borderId="6" xfId="15" applyNumberFormat="1" applyFont="1" applyFill="1" applyBorder="1" applyAlignment="1">
      <alignment vertical="center" wrapText="1"/>
    </xf>
    <xf numFmtId="182" fontId="4" fillId="0" borderId="6" xfId="15" applyNumberFormat="1" applyFont="1" applyFill="1" applyBorder="1" applyAlignment="1">
      <alignment vertical="center" wrapText="1"/>
    </xf>
    <xf numFmtId="182" fontId="3" fillId="0" borderId="7" xfId="15" applyNumberFormat="1" applyFont="1" applyBorder="1" applyAlignment="1">
      <alignment vertical="center"/>
    </xf>
    <xf numFmtId="182" fontId="4" fillId="0" borderId="7" xfId="15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182" fontId="4" fillId="2" borderId="2" xfId="15" applyNumberFormat="1" applyFont="1" applyFill="1" applyBorder="1" applyAlignment="1">
      <alignment vertical="center" wrapText="1"/>
    </xf>
    <xf numFmtId="182" fontId="4" fillId="2" borderId="2" xfId="15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0" xfId="28" applyFont="1">
      <alignment/>
      <protection/>
    </xf>
    <xf numFmtId="0" fontId="3" fillId="0" borderId="0" xfId="28" applyFont="1" applyAlignment="1">
      <alignment/>
      <protection/>
    </xf>
    <xf numFmtId="9" fontId="3" fillId="0" borderId="0" xfId="28" applyNumberFormat="1" applyFont="1" applyAlignment="1">
      <alignment/>
      <protection/>
    </xf>
    <xf numFmtId="181" fontId="4" fillId="0" borderId="9" xfId="15" applyNumberFormat="1" applyFont="1" applyBorder="1" applyAlignment="1">
      <alignment horizontal="center" vertical="center" wrapText="1"/>
    </xf>
    <xf numFmtId="181" fontId="4" fillId="0" borderId="10" xfId="15" applyNumberFormat="1" applyFont="1" applyBorder="1" applyAlignment="1">
      <alignment horizontal="center" vertical="center" wrapText="1"/>
    </xf>
    <xf numFmtId="181" fontId="4" fillId="0" borderId="11" xfId="15" applyNumberFormat="1" applyFont="1" applyBorder="1" applyAlignment="1">
      <alignment horizontal="center" vertical="center" wrapText="1"/>
    </xf>
    <xf numFmtId="181" fontId="4" fillId="0" borderId="2" xfId="15" applyNumberFormat="1" applyFont="1" applyBorder="1" applyAlignment="1">
      <alignment horizontal="center" vertical="center" wrapText="1"/>
    </xf>
    <xf numFmtId="181" fontId="7" fillId="0" borderId="12" xfId="15" applyNumberFormat="1" applyFont="1" applyBorder="1" applyAlignment="1">
      <alignment horizontal="center" vertical="center" wrapText="1"/>
    </xf>
    <xf numFmtId="181" fontId="3" fillId="0" borderId="0" xfId="15" applyNumberFormat="1" applyFont="1" applyAlignment="1">
      <alignment/>
    </xf>
    <xf numFmtId="0" fontId="3" fillId="0" borderId="5" xfId="28" applyFont="1" applyBorder="1" applyAlignment="1">
      <alignment/>
      <protection/>
    </xf>
    <xf numFmtId="181" fontId="3" fillId="0" borderId="5" xfId="15" applyNumberFormat="1" applyFont="1" applyBorder="1" applyAlignment="1">
      <alignment horizontal="left" vertical="center" wrapText="1"/>
    </xf>
    <xf numFmtId="181" fontId="3" fillId="0" borderId="5" xfId="15" applyNumberFormat="1" applyFont="1" applyBorder="1" applyAlignment="1">
      <alignment horizontal="center" vertical="center" wrapText="1"/>
    </xf>
    <xf numFmtId="181" fontId="3" fillId="0" borderId="13" xfId="15" applyNumberFormat="1" applyFont="1" applyBorder="1" applyAlignment="1">
      <alignment horizontal="center" vertical="center" wrapText="1"/>
    </xf>
    <xf numFmtId="181" fontId="3" fillId="0" borderId="14" xfId="15" applyNumberFormat="1" applyFont="1" applyBorder="1" applyAlignment="1">
      <alignment horizontal="center" vertical="center" wrapText="1"/>
    </xf>
    <xf numFmtId="0" fontId="3" fillId="0" borderId="6" xfId="28" applyFont="1" applyBorder="1" applyAlignment="1">
      <alignment/>
      <protection/>
    </xf>
    <xf numFmtId="181" fontId="3" fillId="0" borderId="6" xfId="15" applyNumberFormat="1" applyFont="1" applyBorder="1" applyAlignment="1">
      <alignment horizontal="left" vertical="center" wrapText="1"/>
    </xf>
    <xf numFmtId="181" fontId="3" fillId="0" borderId="6" xfId="15" applyNumberFormat="1" applyFont="1" applyBorder="1" applyAlignment="1">
      <alignment horizontal="center" vertical="center" wrapText="1"/>
    </xf>
    <xf numFmtId="181" fontId="3" fillId="0" borderId="15" xfId="15" applyNumberFormat="1" applyFont="1" applyBorder="1" applyAlignment="1">
      <alignment horizontal="center" vertical="center" wrapText="1"/>
    </xf>
    <xf numFmtId="181" fontId="3" fillId="0" borderId="16" xfId="15" applyNumberFormat="1" applyFont="1" applyBorder="1" applyAlignment="1">
      <alignment horizontal="center" vertical="center" wrapText="1"/>
    </xf>
    <xf numFmtId="182" fontId="3" fillId="0" borderId="0" xfId="15" applyNumberFormat="1" applyFont="1" applyAlignment="1">
      <alignment/>
    </xf>
    <xf numFmtId="0" fontId="3" fillId="0" borderId="17" xfId="28" applyFont="1" applyBorder="1">
      <alignment/>
      <protection/>
    </xf>
    <xf numFmtId="181" fontId="3" fillId="0" borderId="17" xfId="15" applyNumberFormat="1" applyFont="1" applyBorder="1" applyAlignment="1">
      <alignment horizontal="left" vertical="center" wrapText="1"/>
    </xf>
    <xf numFmtId="181" fontId="3" fillId="0" borderId="17" xfId="15" applyNumberFormat="1" applyFont="1" applyBorder="1" applyAlignment="1">
      <alignment horizontal="center" vertical="center" wrapText="1"/>
    </xf>
    <xf numFmtId="181" fontId="3" fillId="0" borderId="18" xfId="15" applyNumberFormat="1" applyFont="1" applyBorder="1" applyAlignment="1">
      <alignment horizontal="center" vertical="center" wrapText="1"/>
    </xf>
    <xf numFmtId="181" fontId="3" fillId="0" borderId="19" xfId="15" applyNumberFormat="1" applyFont="1" applyBorder="1" applyAlignment="1">
      <alignment horizontal="center" vertical="center" wrapText="1"/>
    </xf>
    <xf numFmtId="0" fontId="3" fillId="0" borderId="5" xfId="28" applyFont="1" applyBorder="1" applyAlignment="1">
      <alignment wrapText="1"/>
      <protection/>
    </xf>
    <xf numFmtId="182" fontId="3" fillId="0" borderId="5" xfId="15" applyNumberFormat="1" applyFont="1" applyBorder="1" applyAlignment="1">
      <alignment horizontal="center" vertical="center" wrapText="1"/>
    </xf>
    <xf numFmtId="182" fontId="3" fillId="0" borderId="13" xfId="15" applyNumberFormat="1" applyFont="1" applyBorder="1" applyAlignment="1">
      <alignment horizontal="center" vertical="center" wrapText="1"/>
    </xf>
    <xf numFmtId="182" fontId="3" fillId="0" borderId="14" xfId="15" applyNumberFormat="1" applyFont="1" applyBorder="1" applyAlignment="1">
      <alignment horizontal="center" vertical="center" wrapText="1"/>
    </xf>
    <xf numFmtId="0" fontId="3" fillId="0" borderId="17" xfId="28" applyFont="1" applyBorder="1" applyAlignment="1">
      <alignment/>
      <protection/>
    </xf>
    <xf numFmtId="181" fontId="4" fillId="2" borderId="17" xfId="15" applyNumberFormat="1" applyFont="1" applyFill="1" applyBorder="1" applyAlignment="1">
      <alignment vertical="center" wrapText="1"/>
    </xf>
    <xf numFmtId="182" fontId="4" fillId="2" borderId="17" xfId="15" applyNumberFormat="1" applyFont="1" applyFill="1" applyBorder="1" applyAlignment="1">
      <alignment horizontal="center" vertical="center"/>
    </xf>
    <xf numFmtId="182" fontId="4" fillId="2" borderId="18" xfId="15" applyNumberFormat="1" applyFont="1" applyFill="1" applyBorder="1" applyAlignment="1">
      <alignment horizontal="center" vertical="center"/>
    </xf>
    <xf numFmtId="182" fontId="4" fillId="2" borderId="19" xfId="15" applyNumberFormat="1" applyFont="1" applyFill="1" applyBorder="1" applyAlignment="1">
      <alignment horizontal="center" vertical="center" wrapText="1"/>
    </xf>
    <xf numFmtId="0" fontId="3" fillId="0" borderId="2" xfId="28" applyFont="1" applyBorder="1" applyAlignment="1">
      <alignment/>
      <protection/>
    </xf>
    <xf numFmtId="181" fontId="3" fillId="0" borderId="2" xfId="15" applyNumberFormat="1" applyFont="1" applyBorder="1" applyAlignment="1">
      <alignment vertical="center" wrapText="1"/>
    </xf>
    <xf numFmtId="182" fontId="3" fillId="0" borderId="2" xfId="15" applyNumberFormat="1" applyFont="1" applyBorder="1" applyAlignment="1">
      <alignment horizontal="center" vertical="center"/>
    </xf>
    <xf numFmtId="182" fontId="3" fillId="0" borderId="4" xfId="15" applyNumberFormat="1" applyFont="1" applyBorder="1" applyAlignment="1">
      <alignment horizontal="center" vertical="center"/>
    </xf>
    <xf numFmtId="178" fontId="3" fillId="0" borderId="2" xfId="28" applyNumberFormat="1" applyFont="1" applyBorder="1" applyAlignment="1">
      <alignment horizontal="center" vertical="center"/>
      <protection/>
    </xf>
    <xf numFmtId="182" fontId="4" fillId="0" borderId="12" xfId="15" applyNumberFormat="1" applyFont="1" applyBorder="1" applyAlignment="1">
      <alignment horizontal="center" vertical="center" wrapText="1"/>
    </xf>
    <xf numFmtId="181" fontId="4" fillId="2" borderId="2" xfId="15" applyNumberFormat="1" applyFont="1" applyFill="1" applyBorder="1" applyAlignment="1">
      <alignment vertical="center" wrapText="1"/>
    </xf>
    <xf numFmtId="182" fontId="4" fillId="2" borderId="2" xfId="15" applyNumberFormat="1" applyFont="1" applyFill="1" applyBorder="1" applyAlignment="1">
      <alignment horizontal="center" vertical="center" wrapText="1"/>
    </xf>
    <xf numFmtId="182" fontId="4" fillId="2" borderId="12" xfId="15" applyNumberFormat="1" applyFont="1" applyFill="1" applyBorder="1" applyAlignment="1">
      <alignment horizontal="center" vertical="center" wrapText="1"/>
    </xf>
    <xf numFmtId="0" fontId="3" fillId="0" borderId="20" xfId="28" applyFont="1" applyBorder="1" applyAlignment="1">
      <alignment/>
      <protection/>
    </xf>
    <xf numFmtId="181" fontId="3" fillId="0" borderId="16" xfId="15" applyNumberFormat="1" applyFont="1" applyBorder="1" applyAlignment="1">
      <alignment horizontal="left" vertical="center" wrapText="1"/>
    </xf>
    <xf numFmtId="182" fontId="3" fillId="0" borderId="20" xfId="15" applyNumberFormat="1" applyFont="1" applyBorder="1" applyAlignment="1">
      <alignment horizontal="center" vertical="center" wrapText="1"/>
    </xf>
    <xf numFmtId="182" fontId="3" fillId="0" borderId="21" xfId="15" applyNumberFormat="1" applyFont="1" applyBorder="1" applyAlignment="1">
      <alignment horizontal="center" vertical="center" wrapText="1"/>
    </xf>
    <xf numFmtId="182" fontId="4" fillId="0" borderId="20" xfId="15" applyNumberFormat="1" applyFont="1" applyFill="1" applyBorder="1" applyAlignment="1">
      <alignment horizontal="center" vertical="center" wrapText="1"/>
    </xf>
    <xf numFmtId="182" fontId="4" fillId="0" borderId="22" xfId="15" applyNumberFormat="1" applyFont="1" applyBorder="1" applyAlignment="1">
      <alignment horizontal="center" vertical="center" wrapText="1"/>
    </xf>
    <xf numFmtId="182" fontId="3" fillId="0" borderId="0" xfId="15" applyNumberFormat="1" applyFont="1" applyFill="1" applyAlignment="1">
      <alignment/>
    </xf>
    <xf numFmtId="181" fontId="3" fillId="0" borderId="0" xfId="15" applyNumberFormat="1" applyFont="1" applyFill="1" applyAlignment="1">
      <alignment/>
    </xf>
    <xf numFmtId="0" fontId="3" fillId="0" borderId="0" xfId="28" applyFont="1" applyFill="1">
      <alignment/>
      <protection/>
    </xf>
    <xf numFmtId="182" fontId="4" fillId="2" borderId="17" xfId="15" applyNumberFormat="1" applyFont="1" applyFill="1" applyBorder="1" applyAlignment="1">
      <alignment horizontal="center" vertical="center" wrapText="1"/>
    </xf>
    <xf numFmtId="182" fontId="4" fillId="2" borderId="18" xfId="15" applyNumberFormat="1" applyFont="1" applyFill="1" applyBorder="1" applyAlignment="1">
      <alignment horizontal="center" vertical="center" wrapText="1"/>
    </xf>
    <xf numFmtId="181" fontId="3" fillId="0" borderId="0" xfId="15" applyNumberFormat="1" applyFont="1" applyFill="1" applyBorder="1" applyAlignment="1">
      <alignment vertical="center" wrapText="1"/>
    </xf>
    <xf numFmtId="182" fontId="4" fillId="0" borderId="0" xfId="15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8" fontId="4" fillId="2" borderId="2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82" fontId="0" fillId="2" borderId="2" xfId="15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178" fontId="4" fillId="0" borderId="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178" fontId="4" fillId="0" borderId="12" xfId="15" applyNumberFormat="1" applyFont="1" applyBorder="1" applyAlignment="1">
      <alignment horizontal="center" vertical="center" wrapText="1"/>
    </xf>
    <xf numFmtId="182" fontId="4" fillId="0" borderId="12" xfId="15" applyNumberFormat="1" applyFont="1" applyFill="1" applyBorder="1" applyAlignment="1">
      <alignment horizontal="center" vertical="center"/>
    </xf>
    <xf numFmtId="182" fontId="4" fillId="2" borderId="12" xfId="15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182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194" fontId="3" fillId="0" borderId="26" xfId="0" applyNumberFormat="1" applyFont="1" applyBorder="1" applyAlignment="1">
      <alignment horizontal="center" vertical="center"/>
    </xf>
    <xf numFmtId="9" fontId="0" fillId="0" borderId="0" xfId="38" applyAlignment="1">
      <alignment/>
    </xf>
    <xf numFmtId="182" fontId="4" fillId="0" borderId="27" xfId="15" applyNumberFormat="1" applyFont="1" applyFill="1" applyBorder="1" applyAlignment="1">
      <alignment horizontal="center" vertical="center" wrapText="1"/>
    </xf>
    <xf numFmtId="0" fontId="6" fillId="0" borderId="0" xfId="28" applyFont="1" applyFill="1" applyAlignment="1">
      <alignment vertical="center"/>
      <protection/>
    </xf>
    <xf numFmtId="181" fontId="7" fillId="0" borderId="2" xfId="15" applyNumberFormat="1" applyFont="1" applyBorder="1" applyAlignment="1">
      <alignment horizontal="center" vertical="center" wrapText="1"/>
    </xf>
    <xf numFmtId="181" fontId="3" fillId="0" borderId="0" xfId="15" applyNumberFormat="1" applyFont="1" applyAlignment="1">
      <alignment/>
    </xf>
    <xf numFmtId="0" fontId="3" fillId="0" borderId="5" xfId="28" applyFont="1" applyBorder="1" applyAlignment="1">
      <alignment vertical="center"/>
      <protection/>
    </xf>
    <xf numFmtId="181" fontId="3" fillId="0" borderId="14" xfId="15" applyNumberFormat="1" applyFont="1" applyBorder="1" applyAlignment="1">
      <alignment vertical="center" wrapText="1"/>
    </xf>
    <xf numFmtId="182" fontId="3" fillId="0" borderId="0" xfId="15" applyNumberFormat="1" applyFont="1" applyAlignment="1">
      <alignment/>
    </xf>
    <xf numFmtId="0" fontId="3" fillId="0" borderId="17" xfId="28" applyFont="1" applyBorder="1" applyAlignment="1">
      <alignment vertical="center"/>
      <protection/>
    </xf>
    <xf numFmtId="181" fontId="3" fillId="0" borderId="19" xfId="15" applyNumberFormat="1" applyFont="1" applyBorder="1" applyAlignment="1">
      <alignment vertical="center" wrapText="1"/>
    </xf>
    <xf numFmtId="0" fontId="3" fillId="0" borderId="2" xfId="28" applyFont="1" applyBorder="1" applyAlignment="1">
      <alignment vertical="center"/>
      <protection/>
    </xf>
    <xf numFmtId="181" fontId="3" fillId="0" borderId="12" xfId="15" applyNumberFormat="1" applyFont="1" applyBorder="1" applyAlignment="1">
      <alignment vertical="center" wrapText="1"/>
    </xf>
    <xf numFmtId="182" fontId="3" fillId="0" borderId="2" xfId="15" applyNumberFormat="1" applyFont="1" applyBorder="1" applyAlignment="1">
      <alignment horizontal="center" vertical="center" wrapText="1"/>
    </xf>
    <xf numFmtId="43" fontId="3" fillId="0" borderId="2" xfId="15" applyNumberFormat="1" applyFont="1" applyBorder="1" applyAlignment="1">
      <alignment horizontal="center" vertical="center" wrapText="1"/>
    </xf>
    <xf numFmtId="181" fontId="4" fillId="2" borderId="12" xfId="15" applyNumberFormat="1" applyFont="1" applyFill="1" applyBorder="1" applyAlignment="1">
      <alignment vertical="center" wrapText="1"/>
    </xf>
    <xf numFmtId="0" fontId="3" fillId="0" borderId="20" xfId="28" applyFont="1" applyBorder="1" applyAlignment="1">
      <alignment vertical="center"/>
      <protection/>
    </xf>
    <xf numFmtId="182" fontId="3" fillId="0" borderId="20" xfId="15" applyNumberFormat="1" applyFont="1" applyBorder="1" applyAlignment="1">
      <alignment horizontal="center" vertical="center"/>
    </xf>
    <xf numFmtId="0" fontId="3" fillId="0" borderId="6" xfId="28" applyFont="1" applyBorder="1" applyAlignment="1">
      <alignment vertical="center"/>
      <protection/>
    </xf>
    <xf numFmtId="181" fontId="4" fillId="2" borderId="16" xfId="15" applyNumberFormat="1" applyFont="1" applyFill="1" applyBorder="1" applyAlignment="1">
      <alignment vertical="center" wrapText="1"/>
    </xf>
    <xf numFmtId="182" fontId="4" fillId="2" borderId="6" xfId="15" applyNumberFormat="1" applyFont="1" applyFill="1" applyBorder="1" applyAlignment="1">
      <alignment horizontal="center" vertical="center"/>
    </xf>
    <xf numFmtId="182" fontId="3" fillId="0" borderId="6" xfId="15" applyNumberFormat="1" applyFont="1" applyBorder="1" applyAlignment="1">
      <alignment horizontal="center" vertical="center" wrapText="1"/>
    </xf>
    <xf numFmtId="182" fontId="3" fillId="0" borderId="0" xfId="15" applyNumberFormat="1" applyFont="1" applyAlignment="1">
      <alignment vertical="center"/>
    </xf>
    <xf numFmtId="181" fontId="3" fillId="0" borderId="0" xfId="15" applyNumberFormat="1" applyFont="1" applyAlignment="1">
      <alignment vertical="center"/>
    </xf>
    <xf numFmtId="181" fontId="4" fillId="2" borderId="19" xfId="15" applyNumberFormat="1" applyFont="1" applyFill="1" applyBorder="1" applyAlignment="1">
      <alignment vertical="center" wrapText="1"/>
    </xf>
    <xf numFmtId="0" fontId="3" fillId="0" borderId="0" xfId="28" applyFont="1" applyFill="1" applyBorder="1" applyAlignment="1">
      <alignment vertical="center"/>
      <protection/>
    </xf>
    <xf numFmtId="182" fontId="4" fillId="0" borderId="0" xfId="15" applyNumberFormat="1" applyFont="1" applyFill="1" applyBorder="1" applyAlignment="1">
      <alignment vertical="center" wrapText="1"/>
    </xf>
    <xf numFmtId="182" fontId="3" fillId="0" borderId="0" xfId="15" applyNumberFormat="1" applyFont="1" applyFill="1" applyBorder="1" applyAlignment="1">
      <alignment/>
    </xf>
    <xf numFmtId="181" fontId="3" fillId="0" borderId="0" xfId="15" applyNumberFormat="1" applyFont="1" applyFill="1" applyBorder="1" applyAlignment="1">
      <alignment/>
    </xf>
    <xf numFmtId="0" fontId="3" fillId="0" borderId="0" xfId="28" applyFont="1" applyFill="1" applyBorder="1" applyAlignment="1">
      <alignment/>
      <protection/>
    </xf>
    <xf numFmtId="181" fontId="3" fillId="0" borderId="22" xfId="15" applyNumberFormat="1" applyFont="1" applyBorder="1" applyAlignment="1">
      <alignment vertical="center" wrapText="1"/>
    </xf>
    <xf numFmtId="194" fontId="3" fillId="0" borderId="28" xfId="0" applyNumberFormat="1" applyFont="1" applyBorder="1" applyAlignment="1">
      <alignment horizontal="center" vertical="center"/>
    </xf>
    <xf numFmtId="182" fontId="3" fillId="0" borderId="29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82" fontId="0" fillId="2" borderId="2" xfId="15" applyNumberFormat="1" applyFont="1" applyFill="1" applyBorder="1" applyAlignment="1">
      <alignment vertical="center"/>
    </xf>
    <xf numFmtId="182" fontId="4" fillId="2" borderId="3" xfId="15" applyNumberFormat="1" applyFont="1" applyFill="1" applyBorder="1" applyAlignment="1">
      <alignment vertical="center" wrapText="1"/>
    </xf>
    <xf numFmtId="182" fontId="4" fillId="2" borderId="3" xfId="15" applyNumberFormat="1" applyFont="1" applyFill="1" applyBorder="1" applyAlignment="1">
      <alignment horizontal="center" vertical="center"/>
    </xf>
    <xf numFmtId="182" fontId="4" fillId="2" borderId="30" xfId="15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82" fontId="3" fillId="0" borderId="2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194" fontId="3" fillId="0" borderId="25" xfId="0" applyNumberFormat="1" applyFont="1" applyBorder="1" applyAlignment="1">
      <alignment horizontal="center" vertical="center"/>
    </xf>
    <xf numFmtId="180" fontId="0" fillId="0" borderId="0" xfId="38" applyNumberFormat="1" applyAlignment="1">
      <alignment/>
    </xf>
    <xf numFmtId="0" fontId="7" fillId="0" borderId="0" xfId="28" applyFont="1" applyAlignment="1">
      <alignment vertical="center"/>
      <protection/>
    </xf>
    <xf numFmtId="181" fontId="11" fillId="0" borderId="1" xfId="15" applyNumberFormat="1" applyFont="1" applyBorder="1" applyAlignment="1">
      <alignment horizontal="center" vertical="center" wrapText="1"/>
    </xf>
    <xf numFmtId="182" fontId="3" fillId="0" borderId="31" xfId="15" applyNumberFormat="1" applyFont="1" applyBorder="1" applyAlignment="1">
      <alignment vertical="center"/>
    </xf>
    <xf numFmtId="182" fontId="4" fillId="0" borderId="31" xfId="15" applyNumberFormat="1" applyFont="1" applyFill="1" applyBorder="1" applyAlignment="1">
      <alignment vertical="center" wrapText="1"/>
    </xf>
    <xf numFmtId="182" fontId="3" fillId="0" borderId="2" xfId="15" applyNumberFormat="1" applyFont="1" applyBorder="1" applyAlignment="1">
      <alignment vertical="center"/>
    </xf>
    <xf numFmtId="181" fontId="3" fillId="0" borderId="12" xfId="15" applyNumberFormat="1" applyFont="1" applyBorder="1" applyAlignment="1">
      <alignment horizontal="left" vertical="center" wrapText="1"/>
    </xf>
    <xf numFmtId="182" fontId="3" fillId="0" borderId="2" xfId="15" applyNumberFormat="1" applyFont="1" applyFill="1" applyBorder="1" applyAlignment="1">
      <alignment horizontal="center" vertical="center"/>
    </xf>
    <xf numFmtId="182" fontId="3" fillId="0" borderId="12" xfId="15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 wrapText="1"/>
    </xf>
    <xf numFmtId="0" fontId="6" fillId="0" borderId="0" xfId="28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3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25">
    <cellStyle name="Normal" xfId="0"/>
    <cellStyle name="Comma" xfId="15"/>
    <cellStyle name="Comma [0]" xfId="16"/>
    <cellStyle name="Milliers [0]_LFI04" xfId="17"/>
    <cellStyle name="Milliers [0]_plf1" xfId="18"/>
    <cellStyle name="Milliers_LFI04" xfId="19"/>
    <cellStyle name="Milliers_plf1" xfId="20"/>
    <cellStyle name="Currency" xfId="21"/>
    <cellStyle name="Currency [0]" xfId="22"/>
    <cellStyle name="Monétaire [0]_LFI04" xfId="23"/>
    <cellStyle name="Monétaire [0]_plf1" xfId="24"/>
    <cellStyle name="Monétaire_LFI04" xfId="25"/>
    <cellStyle name="Monétaire_plf1" xfId="26"/>
    <cellStyle name="Normal_estim08-04exoMVseuil1,2" xfId="27"/>
    <cellStyle name="Normal_HYPOTHESES" xfId="28"/>
    <cellStyle name="Normal_HYPOTHESES2" xfId="29"/>
    <cellStyle name="Normal_LFI04" xfId="30"/>
    <cellStyle name="Normal_pers12SMIC" xfId="31"/>
    <cellStyle name="Normal_persprelev" xfId="32"/>
    <cellStyle name="Normal_plf1" xfId="33"/>
    <cellStyle name="Normal_prélèv toutes mesures" xfId="34"/>
    <cellStyle name="Normal_seuilparticEtat" xfId="35"/>
    <cellStyle name="Normal_simulation prelev01" xfId="36"/>
    <cellStyle name="Normal_simulation prelev011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0</xdr:rowOff>
    </xdr:from>
    <xdr:to>
      <xdr:col>5</xdr:col>
      <xdr:colOff>447675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15300" y="38290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228600</xdr:colOff>
      <xdr:row>14</xdr:row>
      <xdr:rowOff>0</xdr:rowOff>
    </xdr:from>
    <xdr:to>
      <xdr:col>5</xdr:col>
      <xdr:colOff>447675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15300" y="86582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12</xdr:row>
      <xdr:rowOff>0</xdr:rowOff>
    </xdr:from>
    <xdr:to>
      <xdr:col>5</xdr:col>
      <xdr:colOff>485775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9525" y="7115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12</xdr:row>
      <xdr:rowOff>0</xdr:rowOff>
    </xdr:from>
    <xdr:to>
      <xdr:col>5</xdr:col>
      <xdr:colOff>419100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15175" y="71151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13</xdr:row>
      <xdr:rowOff>0</xdr:rowOff>
    </xdr:from>
    <xdr:to>
      <xdr:col>5</xdr:col>
      <xdr:colOff>514350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67725" y="8353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13</xdr:row>
      <xdr:rowOff>0</xdr:rowOff>
    </xdr:from>
    <xdr:to>
      <xdr:col>5</xdr:col>
      <xdr:colOff>438150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20100" y="83534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13</xdr:row>
      <xdr:rowOff>0</xdr:rowOff>
    </xdr:from>
    <xdr:to>
      <xdr:col>5</xdr:col>
      <xdr:colOff>600075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83534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13</xdr:row>
      <xdr:rowOff>0</xdr:rowOff>
    </xdr:from>
    <xdr:to>
      <xdr:col>5</xdr:col>
      <xdr:colOff>514350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67725" y="8353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0</xdr:rowOff>
    </xdr:from>
    <xdr:to>
      <xdr:col>5</xdr:col>
      <xdr:colOff>447675</xdr:colOff>
      <xdr:row>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105775" y="38290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228600</xdr:colOff>
      <xdr:row>13</xdr:row>
      <xdr:rowOff>0</xdr:rowOff>
    </xdr:from>
    <xdr:to>
      <xdr:col>5</xdr:col>
      <xdr:colOff>447675</xdr:colOff>
      <xdr:row>13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105775" y="8667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12</xdr:row>
      <xdr:rowOff>0</xdr:rowOff>
    </xdr:from>
    <xdr:to>
      <xdr:col>5</xdr:col>
      <xdr:colOff>419100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15175" y="71151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285750</xdr:colOff>
      <xdr:row>9</xdr:row>
      <xdr:rowOff>123825</xdr:rowOff>
    </xdr:from>
    <xdr:to>
      <xdr:col>5</xdr:col>
      <xdr:colOff>476250</xdr:colOff>
      <xdr:row>9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72325" y="5162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12</xdr:row>
      <xdr:rowOff>0</xdr:rowOff>
    </xdr:from>
    <xdr:to>
      <xdr:col>5</xdr:col>
      <xdr:colOff>361950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77025" y="71151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247650</xdr:colOff>
      <xdr:row>9</xdr:row>
      <xdr:rowOff>123825</xdr:rowOff>
    </xdr:from>
    <xdr:to>
      <xdr:col>5</xdr:col>
      <xdr:colOff>409575</xdr:colOff>
      <xdr:row>9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24650" y="5162550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12</xdr:row>
      <xdr:rowOff>0</xdr:rowOff>
    </xdr:from>
    <xdr:to>
      <xdr:col>5</xdr:col>
      <xdr:colOff>361950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77025" y="71151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247650</xdr:colOff>
      <xdr:row>9</xdr:row>
      <xdr:rowOff>123825</xdr:rowOff>
    </xdr:from>
    <xdr:to>
      <xdr:col>5</xdr:col>
      <xdr:colOff>409575</xdr:colOff>
      <xdr:row>9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24650" y="5162550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4263\F&#233;d&#233;%20qualit&#233;%2060%20franchise%20MV%201,4%20SM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4263\F&#233;d&#233;%20qualit&#233;%2055%20franchise%20MV%201,4%20SM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4263\f&#233;d&#233;%20qualit&#233;%2050%20franchise%20MV%201,4%20SM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4263\F&#233;d&#233;%20qualit&#233;%2045%20franchise%20MV%201,5%20SMI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BUREAU\Cotation%20F&#233;d&#233;\f&#233;d&#233;%20qualit&#233;%2040%20franchise%20MV%201,5%20SM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60 stock-flux-franchMV-1,4SMIC"/>
      <sheetName val="6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29"/>
      <sheetName val="Gér hosp-prél 1,4 SMIC-129"/>
      <sheetName val="1 pers détermi seuil 1,4 SMIC"/>
      <sheetName val="Grce priv-abattement"/>
      <sheetName val="Prélevgrce-auj"/>
      <sheetName val="Gér hosp-146"/>
      <sheetName val="TE-CEet TPSA- 146€"/>
      <sheetName val="Coûts moismesures des hypo (2)"/>
      <sheetName val="Tarifs"/>
    </sheetNames>
    <sheetDataSet>
      <sheetData sheetId="1">
        <row r="9">
          <cell r="J9">
            <v>3605874.6057734406</v>
          </cell>
        </row>
      </sheetData>
      <sheetData sheetId="2">
        <row r="9">
          <cell r="J9">
            <v>8858663.093991483</v>
          </cell>
        </row>
      </sheetData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269.1268626936128</v>
          </cell>
          <cell r="D7">
            <v>114.76776612894331</v>
          </cell>
          <cell r="E7">
            <v>3.8031417982278137</v>
          </cell>
        </row>
        <row r="8">
          <cell r="E8">
            <v>1.059409948645785</v>
          </cell>
          <cell r="F8">
            <v>12.986802764128065</v>
          </cell>
          <cell r="G8">
            <v>14.297789384060763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5">
        <row r="27">
          <cell r="B27">
            <v>184093.460208</v>
          </cell>
          <cell r="D27">
            <v>66437.865</v>
          </cell>
          <cell r="E27">
            <v>5203</v>
          </cell>
          <cell r="F27">
            <v>77000</v>
          </cell>
          <cell r="G27">
            <v>44000</v>
          </cell>
        </row>
        <row r="28">
          <cell r="B28">
            <v>176015.650104</v>
          </cell>
          <cell r="D28">
            <v>66076.4325</v>
          </cell>
          <cell r="E28">
            <v>5203</v>
          </cell>
          <cell r="F28">
            <v>73500</v>
          </cell>
          <cell r="G28">
            <v>42000</v>
          </cell>
        </row>
        <row r="34">
          <cell r="B34">
            <v>167061621.6483597</v>
          </cell>
          <cell r="D34">
            <v>148566895.63526013</v>
          </cell>
          <cell r="F34">
            <v>52027091.203665376</v>
          </cell>
        </row>
      </sheetData>
      <sheetData sheetId="7">
        <row r="31">
          <cell r="B31">
            <v>26254748.619270574</v>
          </cell>
          <cell r="E31">
            <v>2041249.2869324596</v>
          </cell>
          <cell r="F31">
            <v>9059379.589370878</v>
          </cell>
          <cell r="G31">
            <v>8993217.823349759</v>
          </cell>
        </row>
      </sheetData>
      <sheetData sheetId="9">
        <row r="9">
          <cell r="T9">
            <v>1830553.312903785</v>
          </cell>
        </row>
        <row r="11">
          <cell r="T11">
            <v>11229480.33037043</v>
          </cell>
        </row>
      </sheetData>
      <sheetData sheetId="11">
        <row r="9">
          <cell r="R9">
            <v>5304571.560711004</v>
          </cell>
        </row>
      </sheetData>
      <sheetData sheetId="12">
        <row r="9">
          <cell r="R9">
            <v>3927423.174757187</v>
          </cell>
        </row>
      </sheetData>
      <sheetData sheetId="14">
        <row r="9">
          <cell r="R9">
            <v>38207616.26742635</v>
          </cell>
        </row>
      </sheetData>
      <sheetData sheetId="16">
        <row r="9">
          <cell r="R9">
            <v>93865826.50314835</v>
          </cell>
        </row>
      </sheetData>
      <sheetData sheetId="17">
        <row r="9">
          <cell r="S9">
            <v>114767766.12894331</v>
          </cell>
        </row>
        <row r="11">
          <cell r="S11">
            <v>269126862.6936128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rce priv-96(2)"/>
      <sheetName val="Entrées Gér hosp-135 (2)"/>
      <sheetName val="55 stock-flux-franchMV-1,4SMIC"/>
      <sheetName val="55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57"/>
      <sheetName val="TE-CEet TPSA- 157€"/>
      <sheetName val="Coûts moismesures des hypo (2)"/>
      <sheetName val="Tarifs"/>
    </sheetNames>
    <sheetDataSet>
      <sheetData sheetId="1">
        <row r="9">
          <cell r="J9">
            <v>3933681.38811648</v>
          </cell>
        </row>
      </sheetData>
      <sheetData sheetId="2">
        <row r="9">
          <cell r="J9">
            <v>9526096.614771662</v>
          </cell>
        </row>
      </sheetData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289.403544129433</v>
          </cell>
          <cell r="D7">
            <v>123.41465261811027</v>
          </cell>
          <cell r="E7">
            <v>4.089679878916212</v>
          </cell>
        </row>
        <row r="8">
          <cell r="E8">
            <v>1.1665792958659145</v>
          </cell>
          <cell r="F8">
            <v>14.299295709236453</v>
          </cell>
          <cell r="G8">
            <v>15.638130149927264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5">
        <row r="27">
          <cell r="B27">
            <v>184093.460208</v>
          </cell>
          <cell r="D27">
            <v>66437.865</v>
          </cell>
          <cell r="E27">
            <v>5203</v>
          </cell>
          <cell r="F27">
            <v>77000</v>
          </cell>
          <cell r="G27">
            <v>44000</v>
          </cell>
        </row>
        <row r="28">
          <cell r="B28">
            <v>176015.650104</v>
          </cell>
          <cell r="D28">
            <v>66076.4325</v>
          </cell>
          <cell r="E28">
            <v>5203</v>
          </cell>
          <cell r="F28">
            <v>73500</v>
          </cell>
          <cell r="G28">
            <v>42000</v>
          </cell>
        </row>
        <row r="34">
          <cell r="B34">
            <v>167061621.6483597</v>
          </cell>
          <cell r="D34">
            <v>148566895.63526013</v>
          </cell>
          <cell r="F34">
            <v>52027091.203665376</v>
          </cell>
        </row>
      </sheetData>
      <sheetData sheetId="7">
        <row r="31">
          <cell r="B31">
            <v>29176130.94191844</v>
          </cell>
          <cell r="E31">
            <v>2291977.8793720035</v>
          </cell>
          <cell r="F31">
            <v>10067421.125583362</v>
          </cell>
          <cell r="G31">
            <v>9922351.491486723</v>
          </cell>
        </row>
      </sheetData>
      <sheetData sheetId="9">
        <row r="9">
          <cell r="T9">
            <v>1972456.6704932263</v>
          </cell>
        </row>
        <row r="11">
          <cell r="T11">
            <v>12099982.681561936</v>
          </cell>
        </row>
      </sheetData>
      <sheetData sheetId="11">
        <row r="9">
          <cell r="R9">
            <v>5715778.6584405415</v>
          </cell>
        </row>
      </sheetData>
      <sheetData sheetId="12">
        <row r="9">
          <cell r="R9">
            <v>4231874.583653092</v>
          </cell>
        </row>
      </sheetData>
      <sheetData sheetId="14">
        <row r="9">
          <cell r="R9">
            <v>41681035.92810146</v>
          </cell>
        </row>
      </sheetData>
      <sheetData sheetId="16">
        <row r="9">
          <cell r="R9">
            <v>100937909.32187872</v>
          </cell>
        </row>
      </sheetData>
      <sheetData sheetId="17">
        <row r="9">
          <cell r="S9">
            <v>123414652.61811027</v>
          </cell>
        </row>
        <row r="11">
          <cell r="S11">
            <v>289403544.129433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135 (2)"/>
      <sheetName val="Entrées Gér hosp-135 (2)"/>
      <sheetName val="50 stock-flux-franchMV-1,4SMIC"/>
      <sheetName val="5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36"/>
      <sheetName val="Gér hosp-prél 1,4 SMIC-167"/>
      <sheetName val="1 pers détermi seuil 1,4 SMIC"/>
      <sheetName val="Grce priv-abattement"/>
      <sheetName val="Prélevgrce-auj"/>
      <sheetName val="Gér hosp-167"/>
      <sheetName val="TE-CEet TPSA- 167€"/>
      <sheetName val="Coûts moismesures des hypo (2)"/>
      <sheetName val="Tarifs"/>
    </sheetNames>
    <sheetDataSet>
      <sheetData sheetId="1">
        <row r="9">
          <cell r="J9">
            <v>4343439.86604528</v>
          </cell>
        </row>
      </sheetData>
      <sheetData sheetId="2">
        <row r="9">
          <cell r="J9">
            <v>10132854.360935459</v>
          </cell>
        </row>
      </sheetData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307.83689088926945</v>
          </cell>
          <cell r="D7">
            <v>131.27545851735294</v>
          </cell>
          <cell r="E7">
            <v>4.350169043178391</v>
          </cell>
        </row>
        <row r="8">
          <cell r="E8">
            <v>1.2632469615047082</v>
          </cell>
          <cell r="F8">
            <v>15.482758914939419</v>
          </cell>
          <cell r="G8">
            <v>16.80419698205137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5">
        <row r="27">
          <cell r="B27">
            <v>184093.460208</v>
          </cell>
          <cell r="D27">
            <v>66437.865</v>
          </cell>
          <cell r="E27">
            <v>5203</v>
          </cell>
          <cell r="F27">
            <v>77000</v>
          </cell>
          <cell r="G27">
            <v>44000</v>
          </cell>
        </row>
        <row r="28">
          <cell r="B28">
            <v>176015.650104</v>
          </cell>
          <cell r="D28">
            <v>66076.4325</v>
          </cell>
          <cell r="E28">
            <v>5203</v>
          </cell>
          <cell r="F28">
            <v>73500</v>
          </cell>
          <cell r="G28">
            <v>42000</v>
          </cell>
        </row>
        <row r="34">
          <cell r="B34">
            <v>167061621.6483597</v>
          </cell>
          <cell r="D34">
            <v>148566895.63526013</v>
          </cell>
          <cell r="F34">
            <v>52027091.203665376</v>
          </cell>
        </row>
      </sheetData>
      <sheetData sheetId="7">
        <row r="31">
          <cell r="B31">
            <v>31900041.39186578</v>
          </cell>
          <cell r="E31">
            <v>2535398.0698280977</v>
          </cell>
          <cell r="F31">
            <v>11007323.204169601</v>
          </cell>
          <cell r="G31">
            <v>10759452.645427201</v>
          </cell>
        </row>
      </sheetData>
      <sheetData sheetId="9">
        <row r="9">
          <cell r="T9">
            <v>2085979.3565647781</v>
          </cell>
        </row>
        <row r="11">
          <cell r="T11">
            <v>12796384.56251514</v>
          </cell>
        </row>
      </sheetData>
      <sheetData sheetId="11">
        <row r="9">
          <cell r="R9">
            <v>6044744.336624169</v>
          </cell>
        </row>
      </sheetData>
      <sheetData sheetId="12">
        <row r="9">
          <cell r="R9">
            <v>4475435.710769816</v>
          </cell>
        </row>
      </sheetData>
      <sheetData sheetId="14">
        <row r="9">
          <cell r="R9">
            <v>46022810.503945366</v>
          </cell>
        </row>
      </sheetData>
      <sheetData sheetId="16">
        <row r="9">
          <cell r="R9">
            <v>107367075.5207245</v>
          </cell>
        </row>
      </sheetData>
      <sheetData sheetId="17">
        <row r="9">
          <cell r="S9">
            <v>131275458.51735295</v>
          </cell>
        </row>
        <row r="11">
          <cell r="S11">
            <v>307836890.8892695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45 stock-flux-franchMV-1,5SMIC"/>
      <sheetName val="45 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  <sheetDataSet>
      <sheetData sheetId="1">
        <row r="9">
          <cell r="J9">
            <v>10800287.881715642</v>
          </cell>
        </row>
      </sheetData>
      <sheetData sheetId="2">
        <row r="9">
          <cell r="J9">
            <v>4835150.03955984</v>
          </cell>
        </row>
      </sheetData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328.11357232508954</v>
          </cell>
          <cell r="D7">
            <v>139.92234500651992</v>
          </cell>
          <cell r="E7">
            <v>4.6367071238667865</v>
          </cell>
        </row>
        <row r="8">
          <cell r="E8">
            <v>1.2033817600540861</v>
          </cell>
          <cell r="F8">
            <v>14.746399660941329</v>
          </cell>
          <cell r="G8">
            <v>16.588728200130213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5">
        <row r="27">
          <cell r="B27">
            <v>184093.460208</v>
          </cell>
          <cell r="D27">
            <v>66437.865</v>
          </cell>
          <cell r="E27">
            <v>5203</v>
          </cell>
          <cell r="F27">
            <v>77000</v>
          </cell>
          <cell r="G27">
            <v>44000</v>
          </cell>
        </row>
        <row r="28">
          <cell r="B28">
            <v>176015.650104</v>
          </cell>
          <cell r="D28">
            <v>66076.4325</v>
          </cell>
          <cell r="E28">
            <v>5203</v>
          </cell>
          <cell r="F28">
            <v>73500</v>
          </cell>
          <cell r="G28">
            <v>42000</v>
          </cell>
        </row>
        <row r="34">
          <cell r="B34">
            <v>167061621.6483597</v>
          </cell>
          <cell r="D34">
            <v>148566895.63526013</v>
          </cell>
          <cell r="F34">
            <v>52027091.203665376</v>
          </cell>
        </row>
      </sheetData>
      <sheetData sheetId="6">
        <row r="31">
          <cell r="B31">
            <v>30957123.885842346</v>
          </cell>
          <cell r="E31">
            <v>2286846.1435334603</v>
          </cell>
          <cell r="F31">
            <v>10681869.79728</v>
          </cell>
          <cell r="G31">
            <v>11098973.579081144</v>
          </cell>
        </row>
      </sheetData>
      <sheetData sheetId="8">
        <row r="9">
          <cell r="T9">
            <v>1939609.3633071585</v>
          </cell>
        </row>
        <row r="11">
          <cell r="T11">
            <v>11621140.992026182</v>
          </cell>
        </row>
      </sheetData>
      <sheetData sheetId="10">
        <row r="9">
          <cell r="R9">
            <v>5489754.621049067</v>
          </cell>
        </row>
      </sheetData>
      <sheetData sheetId="11">
        <row r="9">
          <cell r="R9">
            <v>4064529.863661329</v>
          </cell>
        </row>
      </sheetData>
      <sheetData sheetId="14">
        <row r="9">
          <cell r="R9">
            <v>51232939.99495805</v>
          </cell>
        </row>
      </sheetData>
      <sheetData sheetId="15">
        <row r="9">
          <cell r="R9">
            <v>114439158.33945484</v>
          </cell>
        </row>
      </sheetData>
      <sheetData sheetId="16">
        <row r="9">
          <cell r="S9">
            <v>139922345.0065199</v>
          </cell>
        </row>
        <row r="11">
          <cell r="S11">
            <v>328113572.3250895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0 stock-flux-franchMV-1,5SMIC"/>
      <sheetName val="40 stock-franchMV-1,5SMIC"/>
      <sheetName val="cotation (3)"/>
      <sheetName val="Entrées Gér hosp-135 (2)"/>
      <sheetName val="entrées Grce priv-135 (2)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  <sheetDataSet>
      <sheetData sheetId="1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7">
          <cell r="C7">
            <v>346.54691908492606</v>
          </cell>
          <cell r="D7">
            <v>147.78315090576268</v>
          </cell>
          <cell r="E7">
            <v>4.897196288128966</v>
          </cell>
        </row>
        <row r="8">
          <cell r="E8">
            <v>1.288468300454755</v>
          </cell>
          <cell r="F8">
            <v>15.788330714537583</v>
          </cell>
          <cell r="G8">
            <v>17.683966051747387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  <sheetData sheetId="3">
        <row r="9">
          <cell r="J9">
            <v>11407045.62787944</v>
          </cell>
        </row>
      </sheetData>
      <sheetData sheetId="4">
        <row r="9">
          <cell r="J9">
            <v>5408811.908660159</v>
          </cell>
        </row>
      </sheetData>
      <sheetData sheetId="5">
        <row r="27">
          <cell r="B27">
            <v>184093.460208</v>
          </cell>
          <cell r="D27">
            <v>66437.865</v>
          </cell>
          <cell r="E27">
            <v>5203</v>
          </cell>
          <cell r="F27">
            <v>77000</v>
          </cell>
          <cell r="G27">
            <v>44000</v>
          </cell>
        </row>
        <row r="28">
          <cell r="B28">
            <v>176015.650104</v>
          </cell>
          <cell r="D28">
            <v>66076.4325</v>
          </cell>
          <cell r="E28">
            <v>5203</v>
          </cell>
          <cell r="F28">
            <v>73500</v>
          </cell>
          <cell r="G28">
            <v>42000</v>
          </cell>
        </row>
        <row r="34">
          <cell r="B34">
            <v>167061621.6483597</v>
          </cell>
          <cell r="D34">
            <v>148566895.63526013</v>
          </cell>
          <cell r="F34">
            <v>52027091.203665376</v>
          </cell>
        </row>
      </sheetData>
      <sheetData sheetId="6">
        <row r="31">
          <cell r="B31">
            <v>33301490.751805063</v>
          </cell>
          <cell r="E31">
            <v>2480583.7970967647</v>
          </cell>
          <cell r="F31">
            <v>11490802.32366</v>
          </cell>
          <cell r="G31">
            <v>11879512.12121143</v>
          </cell>
        </row>
      </sheetData>
      <sheetData sheetId="8">
        <row r="9">
          <cell r="T9">
            <v>2050797.161203747</v>
          </cell>
        </row>
        <row r="11">
          <cell r="T11">
            <v>12287321.048893927</v>
          </cell>
        </row>
      </sheetData>
      <sheetData sheetId="10">
        <row r="9">
          <cell r="R9">
            <v>5804453.930535956</v>
          </cell>
        </row>
      </sheetData>
      <sheetData sheetId="11">
        <row r="9">
          <cell r="R9">
            <v>4297528.390877583</v>
          </cell>
        </row>
      </sheetData>
      <sheetData sheetId="14">
        <row r="9">
          <cell r="R9">
            <v>57311424.4011395</v>
          </cell>
        </row>
      </sheetData>
      <sheetData sheetId="15">
        <row r="9">
          <cell r="R9">
            <v>120868324.53830062</v>
          </cell>
        </row>
      </sheetData>
      <sheetData sheetId="16">
        <row r="9">
          <cell r="S9">
            <v>147783150.90576267</v>
          </cell>
        </row>
        <row r="11">
          <cell r="S11">
            <v>346546919.08492607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75" zoomScaleNormal="75" workbookViewId="0" topLeftCell="C4">
      <selection activeCell="H9" sqref="H9"/>
    </sheetView>
  </sheetViews>
  <sheetFormatPr defaultColWidth="11.421875" defaultRowHeight="12.75"/>
  <cols>
    <col min="1" max="1" width="11.421875" style="76" customWidth="1"/>
    <col min="2" max="2" width="38.140625" style="76" customWidth="1"/>
    <col min="3" max="3" width="22.57421875" style="76" customWidth="1"/>
    <col min="4" max="4" width="23.140625" style="76" customWidth="1"/>
    <col min="5" max="5" width="23.00390625" style="76" customWidth="1"/>
    <col min="6" max="6" width="22.8515625" style="76" customWidth="1"/>
    <col min="7" max="7" width="21.57421875" style="78" customWidth="1"/>
    <col min="8" max="16384" width="9.8515625" style="76" customWidth="1"/>
  </cols>
  <sheetData>
    <row r="1" spans="1:7" ht="43.5" customHeight="1" thickBot="1">
      <c r="A1" s="144" t="s">
        <v>59</v>
      </c>
      <c r="B1" s="145"/>
      <c r="C1" s="80" t="s">
        <v>36</v>
      </c>
      <c r="D1" s="19" t="s">
        <v>38</v>
      </c>
      <c r="E1" s="18" t="s">
        <v>32</v>
      </c>
      <c r="F1" s="80" t="s">
        <v>39</v>
      </c>
      <c r="G1" s="80" t="s">
        <v>31</v>
      </c>
    </row>
    <row r="2" spans="1:7" ht="29.25" customHeight="1" thickBot="1">
      <c r="A2" s="142" t="s">
        <v>55</v>
      </c>
      <c r="B2" s="143"/>
      <c r="C2" s="15" t="s">
        <v>9</v>
      </c>
      <c r="D2" s="82" t="s">
        <v>10</v>
      </c>
      <c r="E2" s="15" t="s">
        <v>11</v>
      </c>
      <c r="F2" s="15" t="s">
        <v>12</v>
      </c>
      <c r="G2" s="15" t="s">
        <v>37</v>
      </c>
    </row>
    <row r="3" spans="1:7" ht="65.25" customHeight="1" thickBot="1">
      <c r="A3" s="1">
        <v>2004</v>
      </c>
      <c r="B3" s="2"/>
      <c r="C3" s="4" t="s">
        <v>40</v>
      </c>
      <c r="D3" s="83" t="s">
        <v>41</v>
      </c>
      <c r="E3" s="4" t="s">
        <v>43</v>
      </c>
      <c r="F3" s="26" t="s">
        <v>42</v>
      </c>
      <c r="G3" s="26" t="s">
        <v>33</v>
      </c>
    </row>
    <row r="4" spans="1:7" ht="56.25" customHeight="1" thickBot="1">
      <c r="A4" s="7" t="s">
        <v>0</v>
      </c>
      <c r="B4" s="8" t="s">
        <v>1</v>
      </c>
      <c r="C4" s="5">
        <f>'Annexe 18 - H 1'!H8</f>
        <v>400.1623083205489</v>
      </c>
      <c r="D4" s="84">
        <f>'Annexe 18 - H 2'!H8</f>
        <v>430.36765462934767</v>
      </c>
      <c r="E4" s="5">
        <f>'Annexe 18 - H 3'!H8</f>
        <v>457.93881267678154</v>
      </c>
      <c r="F4" s="5">
        <f>'Annexe 18 - H 4'!H8</f>
        <v>488.3080623767517</v>
      </c>
      <c r="G4" s="122">
        <f>'Annexe 18 - H 5'!H8</f>
        <v>516.0431238153573</v>
      </c>
    </row>
    <row r="5" spans="1:7" ht="51" customHeight="1" thickBot="1">
      <c r="A5" s="9" t="s">
        <v>2</v>
      </c>
      <c r="B5" s="10" t="s">
        <v>8</v>
      </c>
      <c r="C5" s="5">
        <f>'Annexe 18 - H 1'!H9</f>
        <v>45.143900712941914</v>
      </c>
      <c r="D5" s="84">
        <f>'Annexe 18 - H 2'!H9</f>
        <v>49.70087005512789</v>
      </c>
      <c r="E5" s="5">
        <f>'Annexe 18 - H 3'!H9</f>
        <v>53.809745931977574</v>
      </c>
      <c r="F5" s="5">
        <f>'Annexe 18 - H 4'!H9</f>
        <v>51.14161493087038</v>
      </c>
      <c r="G5" s="122">
        <f>'Annexe 18 - H 5'!H9</f>
        <v>54.75589073608275</v>
      </c>
    </row>
    <row r="6" spans="1:7" ht="56.25" customHeight="1" thickBot="1">
      <c r="A6" s="12" t="s">
        <v>3</v>
      </c>
      <c r="B6" s="13" t="s">
        <v>4</v>
      </c>
      <c r="C6" s="5">
        <f>'Annexe 18 - H 1'!H10</f>
        <v>355.0184076076069</v>
      </c>
      <c r="D6" s="84">
        <f>'Annexe 18 - H 2'!H10</f>
        <v>380.6667845742198</v>
      </c>
      <c r="E6" s="5">
        <f>'Annexe 18 - H 3'!H10</f>
        <v>404.12906674480394</v>
      </c>
      <c r="F6" s="5">
        <f>'Annexe 18 - H 4'!H10</f>
        <v>437.1664474458813</v>
      </c>
      <c r="G6" s="122">
        <f>'Annexe 18 - H 5'!H10</f>
        <v>461.2872330792746</v>
      </c>
    </row>
    <row r="7" spans="1:7" ht="68.25" customHeight="1" thickBot="1">
      <c r="A7" s="137" t="s">
        <v>56</v>
      </c>
      <c r="B7" s="138" t="s">
        <v>29</v>
      </c>
      <c r="C7" s="139">
        <f>'Annexe 18 - H 1'!H11</f>
        <v>320.8312264039863</v>
      </c>
      <c r="D7" s="140">
        <f>'Annexe 18 - H 2'!H11</f>
        <v>320.8312264039863</v>
      </c>
      <c r="E7" s="139">
        <f>'Annexe 18 - H 3'!H11</f>
        <v>320.8312264039863</v>
      </c>
      <c r="F7" s="139">
        <f>'Annexe 18 - H 4'!H11</f>
        <v>320.8312264039863</v>
      </c>
      <c r="G7" s="141">
        <f>'Annexe 18 - H 5'!H11</f>
        <v>320.8312264039863</v>
      </c>
    </row>
    <row r="8" spans="1:7" ht="57.75" customHeight="1" thickBot="1">
      <c r="A8" s="135" t="s">
        <v>5</v>
      </c>
      <c r="B8" s="136" t="s">
        <v>6</v>
      </c>
      <c r="C8" s="5">
        <f>'Annexe 18 - H 1'!H12</f>
        <v>34.18718120362057</v>
      </c>
      <c r="D8" s="84">
        <f>'Annexe 18 - H 2'!H12</f>
        <v>59.835558170233384</v>
      </c>
      <c r="E8" s="5">
        <f>'Annexe 18 - H 3'!H12</f>
        <v>83.2978403408176</v>
      </c>
      <c r="F8" s="5">
        <f>'Annexe 18 - H 4'!H12</f>
        <v>116.33522104189498</v>
      </c>
      <c r="G8" s="122">
        <f>'Annexe 18 - H 5'!H12</f>
        <v>140.45600667528822</v>
      </c>
    </row>
    <row r="9" spans="1:7" ht="47.25" customHeight="1" thickBot="1">
      <c r="A9" s="123"/>
      <c r="B9" s="124" t="s">
        <v>7</v>
      </c>
      <c r="C9" s="125">
        <f>'Annexe 18 - H 1'!C12+'Annexe 18 - H 1'!E12+'Annexe 18 - H 1'!F12+'Annexe 18 - H 1'!G12</f>
        <v>71.85811330977363</v>
      </c>
      <c r="D9" s="126">
        <f>'Annexe 18 - H 2'!C12+'Annexe 18 - H 2'!E12+'Annexe 18 - H 2'!F12+'Annexe 18 - H 2'!G12</f>
        <v>89.25223573724847</v>
      </c>
      <c r="E9" s="125">
        <f>'Annexe 18 - H 3'!C12+'Annexe 18 - H 3'!E12+'Annexe 18 - H 3'!F12+'Annexe 18 - H 3'!G12</f>
        <v>105.21065488511766</v>
      </c>
      <c r="F9" s="125">
        <f>'Annexe 18 - H 4'!C12+'Annexe 18 - H 4'!E12+'Annexe 18 - H 4'!F12+'Annexe 18 - H 4'!G12</f>
        <v>129.2062271774758</v>
      </c>
      <c r="G9" s="127">
        <f>'Annexe 18 - H 5'!C12+'Annexe 18 - H 5'!E12+'Annexe 18 - H 5'!F12+'Annexe 18 - H 5'!G12</f>
        <v>145.77113236308617</v>
      </c>
    </row>
    <row r="10" spans="1:7" ht="82.5" customHeight="1">
      <c r="A10" s="146" t="s">
        <v>46</v>
      </c>
      <c r="B10" s="128" t="s">
        <v>57</v>
      </c>
      <c r="C10" s="129">
        <f>C8-(8.6)</f>
        <v>25.587181203620567</v>
      </c>
      <c r="D10" s="129">
        <f>D8-(8.6)</f>
        <v>51.23555817023338</v>
      </c>
      <c r="E10" s="129">
        <f>E8-(8.6)</f>
        <v>74.6978403408176</v>
      </c>
      <c r="F10" s="129">
        <f>F8-(8.6)</f>
        <v>107.73522104189499</v>
      </c>
      <c r="G10" s="129">
        <f>G8-(8.6)</f>
        <v>131.85600667528823</v>
      </c>
    </row>
    <row r="11" spans="1:7" ht="80.25" customHeight="1" thickBot="1">
      <c r="A11" s="147"/>
      <c r="B11" s="130" t="s">
        <v>58</v>
      </c>
      <c r="C11" s="131">
        <f>C9-54</f>
        <v>17.85811330977363</v>
      </c>
      <c r="D11" s="131">
        <f>D9-54</f>
        <v>35.25223573724847</v>
      </c>
      <c r="E11" s="131">
        <f>E9-54</f>
        <v>51.21065488511766</v>
      </c>
      <c r="F11" s="131">
        <f>F9-54</f>
        <v>75.2062271774758</v>
      </c>
      <c r="G11" s="131">
        <f>G9-54</f>
        <v>91.77113236308617</v>
      </c>
    </row>
    <row r="12" ht="15.75">
      <c r="B12" s="14"/>
    </row>
    <row r="13" spans="2:7" ht="12.75">
      <c r="B13" s="14"/>
      <c r="C13" s="132"/>
      <c r="D13" s="132"/>
      <c r="E13" s="132"/>
      <c r="F13" s="132"/>
      <c r="G13" s="132"/>
    </row>
    <row r="14" ht="15.75">
      <c r="B14" s="14"/>
    </row>
  </sheetData>
  <mergeCells count="3">
    <mergeCell ref="A2:B2"/>
    <mergeCell ref="A1:B1"/>
    <mergeCell ref="A10:A11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12">
    <pageSetUpPr fitToPage="1"/>
  </sheetPr>
  <dimension ref="A1:T12"/>
  <sheetViews>
    <sheetView zoomScale="75" zoomScaleNormal="75" workbookViewId="0" topLeftCell="A1">
      <selection activeCell="H9" sqref="H9"/>
    </sheetView>
  </sheetViews>
  <sheetFormatPr defaultColWidth="11.421875" defaultRowHeight="12.75"/>
  <cols>
    <col min="1" max="1" width="11.8515625" style="1" customWidth="1"/>
    <col min="2" max="2" width="36.7109375" style="21" customWidth="1"/>
    <col min="3" max="3" width="15.00390625" style="21" customWidth="1"/>
    <col min="4" max="4" width="16.00390625" style="21" customWidth="1"/>
    <col min="5" max="5" width="17.57421875" style="21" customWidth="1"/>
    <col min="6" max="6" width="18.8515625" style="21" customWidth="1"/>
    <col min="7" max="7" width="16.57421875" style="21" customWidth="1"/>
    <col min="8" max="8" width="17.140625" style="21" customWidth="1"/>
    <col min="9" max="9" width="7.28125" style="21" bestFit="1" customWidth="1"/>
    <col min="10" max="16384" width="7.28125" style="21" customWidth="1"/>
  </cols>
  <sheetData>
    <row r="1" ht="18.75">
      <c r="A1" s="92" t="s">
        <v>47</v>
      </c>
    </row>
    <row r="2" ht="16.5" thickBot="1">
      <c r="A2" s="1" t="s">
        <v>62</v>
      </c>
    </row>
    <row r="3" spans="1:20" ht="50.25" customHeight="1" thickBot="1">
      <c r="A3" s="133" t="s">
        <v>63</v>
      </c>
      <c r="B3" s="2"/>
      <c r="C3" s="26" t="s">
        <v>16</v>
      </c>
      <c r="D3" s="26" t="s">
        <v>13</v>
      </c>
      <c r="E3" s="26" t="s">
        <v>17</v>
      </c>
      <c r="F3" s="26" t="s">
        <v>18</v>
      </c>
      <c r="G3" s="26" t="s">
        <v>14</v>
      </c>
      <c r="H3" s="93" t="s">
        <v>19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44.25" customHeight="1">
      <c r="A4" s="95" t="s">
        <v>20</v>
      </c>
      <c r="B4" s="96" t="s">
        <v>21</v>
      </c>
      <c r="C4" s="31">
        <f>'[3]fiche budgétaire'!B27</f>
        <v>184093.460208</v>
      </c>
      <c r="D4" s="31">
        <f>'[3]fiche budgétaire'!D27</f>
        <v>66437.865</v>
      </c>
      <c r="E4" s="31">
        <f>'[3]fiche budgétaire'!E27</f>
        <v>5203</v>
      </c>
      <c r="F4" s="31">
        <f>'[3]fiche budgétaire'!F27</f>
        <v>77000</v>
      </c>
      <c r="G4" s="31">
        <f>'[3]fiche budgétaire'!G27</f>
        <v>44000</v>
      </c>
      <c r="H4" s="31">
        <f>SUM(C4:G4)</f>
        <v>376734.325208</v>
      </c>
      <c r="I4" s="97"/>
      <c r="J4" s="97"/>
      <c r="K4" s="97"/>
      <c r="L4" s="97"/>
      <c r="M4" s="97"/>
      <c r="N4" s="97"/>
      <c r="O4" s="94"/>
      <c r="P4" s="94"/>
      <c r="Q4" s="94"/>
      <c r="R4" s="94"/>
      <c r="S4" s="94"/>
      <c r="T4" s="94"/>
    </row>
    <row r="5" spans="1:20" ht="45.75" customHeight="1" thickBot="1">
      <c r="A5" s="98" t="s">
        <v>22</v>
      </c>
      <c r="B5" s="99" t="s">
        <v>23</v>
      </c>
      <c r="C5" s="42">
        <f>'[3]fiche budgétaire'!B28</f>
        <v>176015.650104</v>
      </c>
      <c r="D5" s="42">
        <f>'[3]fiche budgétaire'!D28</f>
        <v>66076.4325</v>
      </c>
      <c r="E5" s="42">
        <f>'[3]fiche budgétaire'!E28</f>
        <v>5203</v>
      </c>
      <c r="F5" s="42">
        <f>'[3]fiche budgétaire'!F28</f>
        <v>73500</v>
      </c>
      <c r="G5" s="42">
        <f>'[3]fiche budgétaire'!G28</f>
        <v>42000</v>
      </c>
      <c r="H5" s="42">
        <f>SUM(C5:G5)</f>
        <v>362795.082604</v>
      </c>
      <c r="I5" s="97"/>
      <c r="J5" s="97"/>
      <c r="K5" s="97"/>
      <c r="L5" s="97"/>
      <c r="M5" s="97"/>
      <c r="N5" s="97"/>
      <c r="O5" s="94"/>
      <c r="P5" s="94"/>
      <c r="Q5" s="94"/>
      <c r="R5" s="94"/>
      <c r="S5" s="94"/>
      <c r="T5" s="94"/>
    </row>
    <row r="6" spans="1:20" ht="57.75" customHeight="1" thickBot="1">
      <c r="A6" s="100" t="s">
        <v>48</v>
      </c>
      <c r="B6" s="101" t="s">
        <v>27</v>
      </c>
      <c r="C6" s="102">
        <f>C7*1000000/C5/12</f>
        <v>145.74314400801956</v>
      </c>
      <c r="D6" s="102">
        <f>D7*1000000/D5/12</f>
        <v>165.56011166481704</v>
      </c>
      <c r="E6" s="102">
        <f>E7*1000000/E5/12</f>
        <v>69.6740509189953</v>
      </c>
      <c r="F6" s="102">
        <f>F7*1000000/F5/12</f>
        <v>121.73137814141101</v>
      </c>
      <c r="G6" s="102">
        <f>G7*1000000/G5/12</f>
        <v>91.3151002062408</v>
      </c>
      <c r="H6" s="103"/>
      <c r="I6" s="97"/>
      <c r="J6" s="97"/>
      <c r="K6" s="97"/>
      <c r="L6" s="97"/>
      <c r="M6" s="97"/>
      <c r="N6" s="97"/>
      <c r="O6" s="94"/>
      <c r="P6" s="94"/>
      <c r="Q6" s="94"/>
      <c r="R6" s="94"/>
      <c r="S6" s="94"/>
      <c r="T6" s="94"/>
    </row>
    <row r="7" spans="1:20" ht="51" customHeight="1" thickBot="1">
      <c r="A7" s="100" t="s">
        <v>0</v>
      </c>
      <c r="B7" s="104" t="s">
        <v>1</v>
      </c>
      <c r="C7" s="3">
        <f>'[3]TE-CEet TPSA- 167€'!S11/1000000</f>
        <v>307.83689088926945</v>
      </c>
      <c r="D7" s="3">
        <f>'[3]TE-CEet TPSA- 167€'!S9/1000000</f>
        <v>131.27545851735294</v>
      </c>
      <c r="E7" s="3">
        <f>C7*E4/C4/2</f>
        <v>4.350169043178391</v>
      </c>
      <c r="F7" s="3">
        <f>'[3]Gér hosp-167'!R9/1000000</f>
        <v>107.36707552072451</v>
      </c>
      <c r="G7" s="3">
        <f>'[3]Grce priv-abattement'!R9/1000000</f>
        <v>46.022810503945365</v>
      </c>
      <c r="H7" s="3">
        <f>SUM(C7:G7)</f>
        <v>596.8524044744706</v>
      </c>
      <c r="I7" s="97"/>
      <c r="J7" s="97"/>
      <c r="K7" s="97"/>
      <c r="L7" s="97"/>
      <c r="M7" s="97"/>
      <c r="N7" s="97"/>
      <c r="O7" s="94"/>
      <c r="P7" s="94"/>
      <c r="Q7" s="94"/>
      <c r="R7" s="94"/>
      <c r="S7" s="94"/>
      <c r="T7" s="94"/>
    </row>
    <row r="8" spans="1:20" ht="59.25" customHeight="1" thickBot="1">
      <c r="A8" s="105" t="s">
        <v>2</v>
      </c>
      <c r="B8" s="55" t="s">
        <v>30</v>
      </c>
      <c r="C8" s="106">
        <f>('[3]franchise MV seuil 1,4 SMIC'!B31+'[3]prél TE-TPSA au dessus 1,4SMIC'!T11)/1000000</f>
        <v>44.69642595438091</v>
      </c>
      <c r="D8" s="106">
        <f>('[3]franchise MV seuil 1,4 SMIC'!E31+'[3]prél TE-TPSA au dessus 1,4SMIC'!T9)/1000000</f>
        <v>4.6213774263928755</v>
      </c>
      <c r="E8" s="106">
        <f>C8*E4/C4</f>
        <v>1.2632469615047082</v>
      </c>
      <c r="F8" s="106">
        <f>('[3]Gér hosp-prél 1,4 SMIC-167'!R9+'[3]franchise MV seuil 1,4 SMIC'!F31)/1000000</f>
        <v>15.482758914939419</v>
      </c>
      <c r="G8" s="106">
        <f>('[3]Grce priv-prell 1,4 SMIC-136'!R9+'[3]franchise MV seuil 1,4 SMIC'!G31)/1000000</f>
        <v>16.80419698205137</v>
      </c>
      <c r="H8" s="106">
        <f>SUM(C8:G8)</f>
        <v>82.86800623926928</v>
      </c>
      <c r="I8" s="97"/>
      <c r="J8" s="97"/>
      <c r="K8" s="97"/>
      <c r="L8" s="97"/>
      <c r="M8" s="97"/>
      <c r="N8" s="97"/>
      <c r="O8" s="94"/>
      <c r="P8" s="94"/>
      <c r="Q8" s="94"/>
      <c r="R8" s="94"/>
      <c r="S8" s="94"/>
      <c r="T8" s="94"/>
    </row>
    <row r="9" spans="1:20" ht="53.25" customHeight="1">
      <c r="A9" s="107" t="s">
        <v>3</v>
      </c>
      <c r="B9" s="108" t="s">
        <v>4</v>
      </c>
      <c r="C9" s="109">
        <f aca="true" t="shared" si="0" ref="C9:H9">C7-C8</f>
        <v>263.14046493488854</v>
      </c>
      <c r="D9" s="109">
        <f t="shared" si="0"/>
        <v>126.65408109096006</v>
      </c>
      <c r="E9" s="109">
        <f t="shared" si="0"/>
        <v>3.0869220816736824</v>
      </c>
      <c r="F9" s="109">
        <f t="shared" si="0"/>
        <v>91.88431660578509</v>
      </c>
      <c r="G9" s="109">
        <f t="shared" si="0"/>
        <v>29.218613521893996</v>
      </c>
      <c r="H9" s="109">
        <f t="shared" si="0"/>
        <v>513.9843982352013</v>
      </c>
      <c r="I9" s="97"/>
      <c r="J9" s="97"/>
      <c r="K9" s="97"/>
      <c r="L9" s="97"/>
      <c r="M9" s="97"/>
      <c r="N9" s="97"/>
      <c r="O9" s="94"/>
      <c r="P9" s="94"/>
      <c r="Q9" s="94"/>
      <c r="R9" s="94"/>
      <c r="S9" s="94"/>
      <c r="T9" s="94"/>
    </row>
    <row r="10" spans="1:20" s="1" customFormat="1" ht="64.5" customHeight="1">
      <c r="A10" s="107" t="s">
        <v>28</v>
      </c>
      <c r="B10" s="64" t="s">
        <v>29</v>
      </c>
      <c r="C10" s="110">
        <f>'[3]fiche budgétaire'!B34/1000000</f>
        <v>167.06162164835968</v>
      </c>
      <c r="D10" s="110">
        <f>'[3]fiche budgétaire'!D34/1000000</f>
        <v>148.56689563526012</v>
      </c>
      <c r="E10" s="110"/>
      <c r="F10" s="110">
        <f>'[3]fiche budgétaire'!F34/1000000</f>
        <v>52.02709120366538</v>
      </c>
      <c r="G10" s="110"/>
      <c r="H10" s="110">
        <f>SUM(C10:G10)</f>
        <v>367.6556084872851</v>
      </c>
      <c r="I10" s="111"/>
      <c r="J10" s="111"/>
      <c r="K10" s="111"/>
      <c r="L10" s="111"/>
      <c r="M10" s="111"/>
      <c r="N10" s="111"/>
      <c r="O10" s="112"/>
      <c r="P10" s="112"/>
      <c r="Q10" s="112"/>
      <c r="R10" s="112"/>
      <c r="S10" s="112"/>
      <c r="T10" s="112"/>
    </row>
    <row r="11" spans="1:20" ht="59.25" customHeight="1" thickBot="1">
      <c r="A11" s="98" t="s">
        <v>5</v>
      </c>
      <c r="B11" s="113" t="s">
        <v>6</v>
      </c>
      <c r="C11" s="72">
        <f>C7-C10-C8</f>
        <v>96.07884328652887</v>
      </c>
      <c r="D11" s="72">
        <f>D7-D10-D8</f>
        <v>-21.912814544300055</v>
      </c>
      <c r="E11" s="72">
        <f>E7-E10-E8</f>
        <v>3.0869220816736824</v>
      </c>
      <c r="F11" s="72">
        <f>F7-F10-F8</f>
        <v>39.85722540211972</v>
      </c>
      <c r="G11" s="72">
        <f>G7-G10-G8</f>
        <v>29.218613521893996</v>
      </c>
      <c r="H11" s="72">
        <f>SUM(C11:G11)</f>
        <v>146.32878974791618</v>
      </c>
      <c r="I11" s="97"/>
      <c r="J11" s="97"/>
      <c r="K11" s="97"/>
      <c r="L11" s="97"/>
      <c r="M11" s="97"/>
      <c r="N11" s="97"/>
      <c r="O11" s="94"/>
      <c r="P11" s="94"/>
      <c r="Q11" s="94"/>
      <c r="R11" s="94"/>
      <c r="S11" s="94"/>
      <c r="T11" s="94"/>
    </row>
    <row r="12" spans="1:20" s="118" customFormat="1" ht="39.75" customHeight="1">
      <c r="A12" s="114"/>
      <c r="B12" s="74"/>
      <c r="C12" s="75"/>
      <c r="D12" s="75"/>
      <c r="E12" s="75"/>
      <c r="F12" s="75"/>
      <c r="G12" s="75"/>
      <c r="H12" s="115"/>
      <c r="I12" s="116"/>
      <c r="J12" s="116"/>
      <c r="K12" s="116"/>
      <c r="L12" s="116"/>
      <c r="M12" s="116"/>
      <c r="N12" s="116"/>
      <c r="O12" s="117"/>
      <c r="P12" s="117"/>
      <c r="Q12" s="117"/>
      <c r="R12" s="117"/>
      <c r="S12" s="117"/>
      <c r="T12" s="117"/>
    </row>
  </sheetData>
  <printOptions/>
  <pageMargins left="0" right="0" top="0.1968503937007874" bottom="0.3937007874015748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213">
    <pageSetUpPr fitToPage="1"/>
  </sheetPr>
  <dimension ref="A1:T12"/>
  <sheetViews>
    <sheetView zoomScale="75" zoomScaleNormal="75" workbookViewId="0" topLeftCell="A1">
      <selection activeCell="C7" sqref="C7"/>
    </sheetView>
  </sheetViews>
  <sheetFormatPr defaultColWidth="11.421875" defaultRowHeight="12.75"/>
  <cols>
    <col min="1" max="1" width="11.8515625" style="1" customWidth="1"/>
    <col min="2" max="2" width="50.00390625" style="21" customWidth="1"/>
    <col min="3" max="3" width="15.00390625" style="21" customWidth="1"/>
    <col min="4" max="4" width="16.00390625" style="21" customWidth="1"/>
    <col min="5" max="5" width="17.57421875" style="21" customWidth="1"/>
    <col min="6" max="6" width="18.8515625" style="21" customWidth="1"/>
    <col min="7" max="7" width="16.57421875" style="21" customWidth="1"/>
    <col min="8" max="8" width="17.140625" style="21" customWidth="1"/>
    <col min="9" max="9" width="9.8515625" style="21" bestFit="1" customWidth="1"/>
    <col min="10" max="16384" width="9.8515625" style="21" customWidth="1"/>
  </cols>
  <sheetData>
    <row r="1" ht="18.75">
      <c r="A1" s="92" t="s">
        <v>47</v>
      </c>
    </row>
    <row r="2" ht="16.5" thickBot="1">
      <c r="A2" s="1" t="s">
        <v>54</v>
      </c>
    </row>
    <row r="3" spans="1:20" ht="50.25" customHeight="1" thickBot="1">
      <c r="A3" s="133" t="s">
        <v>64</v>
      </c>
      <c r="B3" s="134"/>
      <c r="C3" s="26" t="s">
        <v>16</v>
      </c>
      <c r="D3" s="26" t="s">
        <v>13</v>
      </c>
      <c r="E3" s="26" t="s">
        <v>17</v>
      </c>
      <c r="F3" s="26" t="s">
        <v>18</v>
      </c>
      <c r="G3" s="26" t="s">
        <v>14</v>
      </c>
      <c r="H3" s="93" t="s">
        <v>19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44.25" customHeight="1">
      <c r="A4" s="95" t="s">
        <v>20</v>
      </c>
      <c r="B4" s="96" t="s">
        <v>21</v>
      </c>
      <c r="C4" s="31">
        <f>'[4]fiche budgétaire'!B27</f>
        <v>184093.460208</v>
      </c>
      <c r="D4" s="31">
        <f>'[4]fiche budgétaire'!D27</f>
        <v>66437.865</v>
      </c>
      <c r="E4" s="31">
        <f>'[4]fiche budgétaire'!E27</f>
        <v>5203</v>
      </c>
      <c r="F4" s="31">
        <f>'[4]fiche budgétaire'!F27</f>
        <v>77000</v>
      </c>
      <c r="G4" s="31">
        <f>'[4]fiche budgétaire'!G27</f>
        <v>44000</v>
      </c>
      <c r="H4" s="31">
        <f>SUM(C4:G4)</f>
        <v>376734.325208</v>
      </c>
      <c r="I4" s="97"/>
      <c r="J4" s="97"/>
      <c r="K4" s="97"/>
      <c r="L4" s="97"/>
      <c r="M4" s="97"/>
      <c r="N4" s="97"/>
      <c r="O4" s="94"/>
      <c r="P4" s="94"/>
      <c r="Q4" s="94"/>
      <c r="R4" s="94"/>
      <c r="S4" s="94"/>
      <c r="T4" s="94"/>
    </row>
    <row r="5" spans="1:20" ht="45.75" customHeight="1" thickBot="1">
      <c r="A5" s="98" t="s">
        <v>22</v>
      </c>
      <c r="B5" s="99" t="s">
        <v>23</v>
      </c>
      <c r="C5" s="42">
        <f>'[4]fiche budgétaire'!B28</f>
        <v>176015.650104</v>
      </c>
      <c r="D5" s="42">
        <f>'[4]fiche budgétaire'!D28</f>
        <v>66076.4325</v>
      </c>
      <c r="E5" s="42">
        <f>'[4]fiche budgétaire'!E28</f>
        <v>5203</v>
      </c>
      <c r="F5" s="42">
        <f>'[4]fiche budgétaire'!F28</f>
        <v>73500</v>
      </c>
      <c r="G5" s="42">
        <f>'[4]fiche budgétaire'!G28</f>
        <v>42000</v>
      </c>
      <c r="H5" s="42">
        <f>SUM(C5:G5)</f>
        <v>362795.082604</v>
      </c>
      <c r="I5" s="97"/>
      <c r="J5" s="97"/>
      <c r="K5" s="97"/>
      <c r="L5" s="97"/>
      <c r="M5" s="97"/>
      <c r="N5" s="97"/>
      <c r="O5" s="94"/>
      <c r="P5" s="94"/>
      <c r="Q5" s="94"/>
      <c r="R5" s="94"/>
      <c r="S5" s="94"/>
      <c r="T5" s="94"/>
    </row>
    <row r="6" spans="1:20" ht="57.75" customHeight="1" thickBot="1">
      <c r="A6" s="100" t="s">
        <v>48</v>
      </c>
      <c r="B6" s="101" t="s">
        <v>27</v>
      </c>
      <c r="C6" s="102">
        <f>C7*1000000/C5/12</f>
        <v>155.34299181693098</v>
      </c>
      <c r="D6" s="102">
        <f>D7*1000000/D5/12</f>
        <v>176.46526872058345</v>
      </c>
      <c r="E6" s="102">
        <f>E7*1000000/E5/12</f>
        <v>74.26335966216264</v>
      </c>
      <c r="F6" s="102">
        <f>(F7*1000000/F5/12)</f>
        <v>129.7496126297674</v>
      </c>
      <c r="G6" s="102">
        <f>G7*1000000/G5/12</f>
        <v>101.65265872015486</v>
      </c>
      <c r="H6" s="103"/>
      <c r="I6" s="97"/>
      <c r="J6" s="97"/>
      <c r="K6" s="97"/>
      <c r="L6" s="97"/>
      <c r="M6" s="97"/>
      <c r="N6" s="97"/>
      <c r="O6" s="94"/>
      <c r="P6" s="94"/>
      <c r="Q6" s="94"/>
      <c r="R6" s="94"/>
      <c r="S6" s="94"/>
      <c r="T6" s="94"/>
    </row>
    <row r="7" spans="1:20" ht="51" customHeight="1" thickBot="1">
      <c r="A7" s="100" t="s">
        <v>0</v>
      </c>
      <c r="B7" s="104" t="s">
        <v>1</v>
      </c>
      <c r="C7" s="3">
        <f>'[4]TE-CEet TPSA- 188€'!S11/1000000</f>
        <v>328.11357232508954</v>
      </c>
      <c r="D7" s="3">
        <f>'[4]TE-CEet TPSA- 188€'!S9/1000000</f>
        <v>139.92234500651992</v>
      </c>
      <c r="E7" s="3">
        <f>C7*E4/C4/2</f>
        <v>4.6367071238667865</v>
      </c>
      <c r="F7" s="3">
        <f>('[4]Gér hosp-188'!R9)/1000000</f>
        <v>114.43915833945485</v>
      </c>
      <c r="G7" s="3">
        <f>'[4]Grce priv-abattement'!R9/1000000</f>
        <v>51.23293999495805</v>
      </c>
      <c r="H7" s="3">
        <f>SUM(C7:G7)</f>
        <v>638.3447227898891</v>
      </c>
      <c r="I7" s="97"/>
      <c r="J7" s="97"/>
      <c r="K7" s="97"/>
      <c r="L7" s="97"/>
      <c r="M7" s="97"/>
      <c r="N7" s="97"/>
      <c r="O7" s="94"/>
      <c r="P7" s="94"/>
      <c r="Q7" s="94"/>
      <c r="R7" s="94"/>
      <c r="S7" s="94"/>
      <c r="T7" s="94"/>
    </row>
    <row r="8" spans="1:20" ht="59.25" customHeight="1" thickBot="1">
      <c r="A8" s="105" t="s">
        <v>2</v>
      </c>
      <c r="B8" s="55" t="s">
        <v>66</v>
      </c>
      <c r="C8" s="106">
        <f>('[4]prélfranchise MV seuil 1,5 SMIC'!B31+'[4]prél TE-TPSA au dessus 1,5SMIC'!T11)/1000000</f>
        <v>42.57826487786853</v>
      </c>
      <c r="D8" s="106">
        <f>('[4]prélfranchise MV seuil 1,5 SMIC'!E31+'[4]prél TE-TPSA au dessus 1,5SMIC'!T9)/1000000</f>
        <v>4.226455506840618</v>
      </c>
      <c r="E8" s="106">
        <f>C8*E4/C4</f>
        <v>1.2033817600540861</v>
      </c>
      <c r="F8" s="106">
        <f>('[4]Gér hosp-prél 1,4 SMIC-188'!R9+'[4]prélfranchise MV seuil 1,5 SMIC'!F31)/1000000</f>
        <v>14.746399660941329</v>
      </c>
      <c r="G8" s="106">
        <f>('[4]Grce priv-prell 1,4 SMIC-188'!R9+'[4]prélfranchise MV seuil 1,5 SMIC'!G31)/1000000</f>
        <v>16.588728200130213</v>
      </c>
      <c r="H8" s="106">
        <f>SUM(C8:G8)</f>
        <v>79.34323000583477</v>
      </c>
      <c r="I8" s="97"/>
      <c r="J8" s="97"/>
      <c r="K8" s="97"/>
      <c r="L8" s="97"/>
      <c r="M8" s="97"/>
      <c r="N8" s="97"/>
      <c r="O8" s="94"/>
      <c r="P8" s="94"/>
      <c r="Q8" s="94"/>
      <c r="R8" s="94"/>
      <c r="S8" s="94"/>
      <c r="T8" s="94"/>
    </row>
    <row r="9" spans="1:20" ht="53.25" customHeight="1">
      <c r="A9" s="107" t="s">
        <v>3</v>
      </c>
      <c r="B9" s="108" t="s">
        <v>4</v>
      </c>
      <c r="C9" s="109">
        <f aca="true" t="shared" si="0" ref="C9:H9">C7-C8</f>
        <v>285.535307447221</v>
      </c>
      <c r="D9" s="109">
        <f t="shared" si="0"/>
        <v>135.6958894996793</v>
      </c>
      <c r="E9" s="109">
        <f t="shared" si="0"/>
        <v>3.4333253638127004</v>
      </c>
      <c r="F9" s="109">
        <f t="shared" si="0"/>
        <v>99.69275867851351</v>
      </c>
      <c r="G9" s="109">
        <f t="shared" si="0"/>
        <v>34.64421179482784</v>
      </c>
      <c r="H9" s="109">
        <f t="shared" si="0"/>
        <v>559.0014927840543</v>
      </c>
      <c r="I9" s="97"/>
      <c r="J9" s="97"/>
      <c r="K9" s="97"/>
      <c r="L9" s="97"/>
      <c r="M9" s="97"/>
      <c r="N9" s="97"/>
      <c r="O9" s="94"/>
      <c r="P9" s="94"/>
      <c r="Q9" s="94"/>
      <c r="R9" s="94"/>
      <c r="S9" s="94"/>
      <c r="T9" s="94"/>
    </row>
    <row r="10" spans="1:20" s="1" customFormat="1" ht="64.5" customHeight="1">
      <c r="A10" s="107" t="s">
        <v>28</v>
      </c>
      <c r="B10" s="64" t="s">
        <v>29</v>
      </c>
      <c r="C10" s="110">
        <f>'[4]fiche budgétaire'!B34/1000000</f>
        <v>167.06162164835968</v>
      </c>
      <c r="D10" s="110">
        <f>'[4]fiche budgétaire'!D34/1000000</f>
        <v>148.56689563526012</v>
      </c>
      <c r="E10" s="110"/>
      <c r="F10" s="110">
        <f>('[4]fiche budgétaire'!F34)/1000000</f>
        <v>52.02709120366538</v>
      </c>
      <c r="G10" s="110"/>
      <c r="H10" s="110">
        <f>SUM(C10:G10)</f>
        <v>367.6556084872851</v>
      </c>
      <c r="I10" s="111"/>
      <c r="J10" s="111"/>
      <c r="K10" s="111"/>
      <c r="L10" s="111"/>
      <c r="M10" s="111"/>
      <c r="N10" s="111"/>
      <c r="O10" s="112"/>
      <c r="P10" s="112"/>
      <c r="Q10" s="112"/>
      <c r="R10" s="112"/>
      <c r="S10" s="112"/>
      <c r="T10" s="112"/>
    </row>
    <row r="11" spans="1:20" ht="59.25" customHeight="1" thickBot="1">
      <c r="A11" s="98" t="s">
        <v>5</v>
      </c>
      <c r="B11" s="113" t="s">
        <v>6</v>
      </c>
      <c r="C11" s="72">
        <f>C7-C10-C8</f>
        <v>118.47368579886134</v>
      </c>
      <c r="D11" s="72">
        <f>D7-D10-D8</f>
        <v>-12.871006135580824</v>
      </c>
      <c r="E11" s="72">
        <f>E7-E10-E8</f>
        <v>3.4333253638127004</v>
      </c>
      <c r="F11" s="72">
        <f>F7-F10-F8</f>
        <v>47.66566747484814</v>
      </c>
      <c r="G11" s="72">
        <f>G7-G10-G8</f>
        <v>34.64421179482784</v>
      </c>
      <c r="H11" s="72">
        <f>SUM(C11:G11)</f>
        <v>191.34588429676919</v>
      </c>
      <c r="I11" s="97"/>
      <c r="J11" s="97"/>
      <c r="K11" s="97"/>
      <c r="L11" s="97"/>
      <c r="M11" s="97"/>
      <c r="N11" s="97"/>
      <c r="O11" s="94"/>
      <c r="P11" s="94"/>
      <c r="Q11" s="94"/>
      <c r="R11" s="94"/>
      <c r="S11" s="94"/>
      <c r="T11" s="94"/>
    </row>
    <row r="12" spans="1:20" s="118" customFormat="1" ht="39.75" customHeight="1">
      <c r="A12" s="114"/>
      <c r="B12" s="74"/>
      <c r="C12" s="75"/>
      <c r="D12" s="75"/>
      <c r="E12" s="75"/>
      <c r="F12" s="75"/>
      <c r="G12" s="75"/>
      <c r="H12" s="115"/>
      <c r="I12" s="116"/>
      <c r="J12" s="116"/>
      <c r="K12" s="116"/>
      <c r="L12" s="116"/>
      <c r="M12" s="116"/>
      <c r="N12" s="116"/>
      <c r="O12" s="117"/>
      <c r="P12" s="117"/>
      <c r="Q12" s="117"/>
      <c r="R12" s="117"/>
      <c r="S12" s="117"/>
      <c r="T12" s="117"/>
    </row>
  </sheetData>
  <printOptions/>
  <pageMargins left="0" right="0" top="0.1968503937007874" bottom="0.3937007874015748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131">
    <pageSetUpPr fitToPage="1"/>
  </sheetPr>
  <dimension ref="A1:T12"/>
  <sheetViews>
    <sheetView zoomScale="75" zoomScaleNormal="75" workbookViewId="0" topLeftCell="A6">
      <selection activeCell="D8" sqref="D8"/>
    </sheetView>
  </sheetViews>
  <sheetFormatPr defaultColWidth="11.421875" defaultRowHeight="12.75"/>
  <cols>
    <col min="1" max="1" width="11.8515625" style="1" customWidth="1"/>
    <col min="2" max="2" width="42.8515625" style="21" customWidth="1"/>
    <col min="3" max="3" width="15.00390625" style="21" customWidth="1"/>
    <col min="4" max="4" width="16.00390625" style="21" customWidth="1"/>
    <col min="5" max="5" width="17.57421875" style="21" customWidth="1"/>
    <col min="6" max="6" width="18.8515625" style="21" customWidth="1"/>
    <col min="7" max="7" width="16.57421875" style="21" customWidth="1"/>
    <col min="8" max="8" width="17.140625" style="21" customWidth="1"/>
    <col min="9" max="9" width="8.421875" style="21" bestFit="1" customWidth="1"/>
    <col min="10" max="16384" width="8.421875" style="21" customWidth="1"/>
  </cols>
  <sheetData>
    <row r="1" ht="18.75">
      <c r="A1" s="92" t="s">
        <v>47</v>
      </c>
    </row>
    <row r="2" ht="16.5" thickBot="1">
      <c r="A2" s="1" t="s">
        <v>45</v>
      </c>
    </row>
    <row r="3" spans="1:20" ht="50.25" customHeight="1" thickBot="1">
      <c r="A3" s="133" t="s">
        <v>65</v>
      </c>
      <c r="B3" s="2"/>
      <c r="C3" s="26" t="s">
        <v>16</v>
      </c>
      <c r="D3" s="26" t="s">
        <v>13</v>
      </c>
      <c r="E3" s="26" t="s">
        <v>17</v>
      </c>
      <c r="F3" s="26" t="s">
        <v>18</v>
      </c>
      <c r="G3" s="26" t="s">
        <v>14</v>
      </c>
      <c r="H3" s="93" t="s">
        <v>19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44.25" customHeight="1">
      <c r="A4" s="95" t="s">
        <v>20</v>
      </c>
      <c r="B4" s="96" t="s">
        <v>21</v>
      </c>
      <c r="C4" s="31">
        <f>'[5]fiche budgétaire'!B27</f>
        <v>184093.460208</v>
      </c>
      <c r="D4" s="31">
        <f>'[5]fiche budgétaire'!D27</f>
        <v>66437.865</v>
      </c>
      <c r="E4" s="31">
        <f>'[5]fiche budgétaire'!E27</f>
        <v>5203</v>
      </c>
      <c r="F4" s="31">
        <f>'[5]fiche budgétaire'!F27</f>
        <v>77000</v>
      </c>
      <c r="G4" s="31">
        <f>'[5]fiche budgétaire'!G27</f>
        <v>44000</v>
      </c>
      <c r="H4" s="31">
        <f>SUM(C4:G4)</f>
        <v>376734.325208</v>
      </c>
      <c r="I4" s="97"/>
      <c r="J4" s="97"/>
      <c r="K4" s="97"/>
      <c r="L4" s="97"/>
      <c r="M4" s="97"/>
      <c r="N4" s="97"/>
      <c r="O4" s="94"/>
      <c r="P4" s="94"/>
      <c r="Q4" s="94"/>
      <c r="R4" s="94"/>
      <c r="S4" s="94"/>
      <c r="T4" s="94"/>
    </row>
    <row r="5" spans="1:20" ht="45.75" customHeight="1" thickBot="1">
      <c r="A5" s="98" t="s">
        <v>22</v>
      </c>
      <c r="B5" s="99" t="s">
        <v>23</v>
      </c>
      <c r="C5" s="42">
        <f>'[5]fiche budgétaire'!B28</f>
        <v>176015.650104</v>
      </c>
      <c r="D5" s="42">
        <f>'[5]fiche budgétaire'!D28</f>
        <v>66076.4325</v>
      </c>
      <c r="E5" s="42">
        <f>'[5]fiche budgétaire'!E28</f>
        <v>5203</v>
      </c>
      <c r="F5" s="42">
        <f>'[5]fiche budgétaire'!F28</f>
        <v>73500</v>
      </c>
      <c r="G5" s="42">
        <f>'[5]fiche budgétaire'!G28</f>
        <v>42000</v>
      </c>
      <c r="H5" s="42">
        <f>SUM(C5:G5)</f>
        <v>362795.082604</v>
      </c>
      <c r="I5" s="97"/>
      <c r="J5" s="97"/>
      <c r="K5" s="97"/>
      <c r="L5" s="97"/>
      <c r="M5" s="97"/>
      <c r="N5" s="97"/>
      <c r="O5" s="94"/>
      <c r="P5" s="94"/>
      <c r="Q5" s="94"/>
      <c r="R5" s="94"/>
      <c r="S5" s="94"/>
      <c r="T5" s="94"/>
    </row>
    <row r="6" spans="1:20" ht="57.75" customHeight="1" thickBot="1">
      <c r="A6" s="100" t="s">
        <v>48</v>
      </c>
      <c r="B6" s="101" t="s">
        <v>27</v>
      </c>
      <c r="C6" s="102">
        <f>C7*1000000/C5/12</f>
        <v>164.0701261886687</v>
      </c>
      <c r="D6" s="102">
        <f>D7*1000000/D5/12</f>
        <v>186.37904786218937</v>
      </c>
      <c r="E6" s="102">
        <f>E7*1000000/E5/12</f>
        <v>78.43545851958753</v>
      </c>
      <c r="F6" s="102">
        <f>(F7*1000000/F5/12)</f>
        <v>137.0389167100914</v>
      </c>
      <c r="G6" s="102">
        <f>G7*1000000/G5/12</f>
        <v>113.71314365305456</v>
      </c>
      <c r="H6" s="103"/>
      <c r="I6" s="97"/>
      <c r="J6" s="97"/>
      <c r="K6" s="97"/>
      <c r="L6" s="97"/>
      <c r="M6" s="97"/>
      <c r="N6" s="97"/>
      <c r="O6" s="94"/>
      <c r="P6" s="94"/>
      <c r="Q6" s="94"/>
      <c r="R6" s="94"/>
      <c r="S6" s="94"/>
      <c r="T6" s="94"/>
    </row>
    <row r="7" spans="1:20" ht="51" customHeight="1" thickBot="1">
      <c r="A7" s="100" t="s">
        <v>0</v>
      </c>
      <c r="B7" s="104" t="s">
        <v>1</v>
      </c>
      <c r="C7" s="3">
        <f>'[5]TE-CEet TPSA- 188€'!S11/1000000</f>
        <v>346.54691908492606</v>
      </c>
      <c r="D7" s="3">
        <f>'[5]TE-CEet TPSA- 188€'!S9/1000000</f>
        <v>147.78315090576268</v>
      </c>
      <c r="E7" s="3">
        <f>C7*E4/C4/2</f>
        <v>4.897196288128966</v>
      </c>
      <c r="F7" s="3">
        <f>('[5]Gér hosp-188'!R9)/1000000</f>
        <v>120.86832453830061</v>
      </c>
      <c r="G7" s="3">
        <f>'[5]Grce priv-abattement'!R9/1000000</f>
        <v>57.3114244011395</v>
      </c>
      <c r="H7" s="3">
        <f>SUM(C7:G7)</f>
        <v>677.4070152182578</v>
      </c>
      <c r="I7" s="97"/>
      <c r="J7" s="97"/>
      <c r="K7" s="97"/>
      <c r="L7" s="97"/>
      <c r="M7" s="97"/>
      <c r="N7" s="97"/>
      <c r="O7" s="94"/>
      <c r="P7" s="94"/>
      <c r="Q7" s="94"/>
      <c r="R7" s="94"/>
      <c r="S7" s="94"/>
      <c r="T7" s="94"/>
    </row>
    <row r="8" spans="1:20" ht="59.25" customHeight="1">
      <c r="A8" s="105" t="s">
        <v>2</v>
      </c>
      <c r="B8" s="119" t="s">
        <v>67</v>
      </c>
      <c r="C8" s="106">
        <f>('[5]prélfranchise MV seuil 1,5 SMIC'!B31+'[5]prél TE-TPSA au dessus 1,5SMIC'!T11)/1000000</f>
        <v>45.58881180069899</v>
      </c>
      <c r="D8" s="106">
        <f>('[5]prélfranchise MV seuil 1,5 SMIC'!E31+'[5]prél TE-TPSA au dessus 1,5SMIC'!T9)/1000000</f>
        <v>4.531380958300511</v>
      </c>
      <c r="E8" s="106">
        <f>C8*E4/C4</f>
        <v>1.288468300454755</v>
      </c>
      <c r="F8" s="106">
        <f>('[5]Gér hosp-prél 1,4 SMIC-188'!R9+'[5]prélfranchise MV seuil 1,5 SMIC'!F31)/1000000</f>
        <v>15.788330714537583</v>
      </c>
      <c r="G8" s="106">
        <f>('[5]Grce priv-prell 1,4 SMIC-188'!R9+'[5]prélfranchise MV seuil 1,5 SMIC'!G31)/1000000</f>
        <v>17.683966051747387</v>
      </c>
      <c r="H8" s="106">
        <f>SUM(C8:G8)</f>
        <v>84.88095782573923</v>
      </c>
      <c r="I8" s="97"/>
      <c r="J8" s="97"/>
      <c r="K8" s="97"/>
      <c r="L8" s="97"/>
      <c r="M8" s="97"/>
      <c r="N8" s="97"/>
      <c r="O8" s="94"/>
      <c r="P8" s="94"/>
      <c r="Q8" s="94"/>
      <c r="R8" s="94"/>
      <c r="S8" s="94"/>
      <c r="T8" s="94"/>
    </row>
    <row r="9" spans="1:20" ht="53.25" customHeight="1">
      <c r="A9" s="107" t="s">
        <v>3</v>
      </c>
      <c r="B9" s="108" t="s">
        <v>4</v>
      </c>
      <c r="C9" s="109">
        <f aca="true" t="shared" si="0" ref="C9:H9">C7-C8</f>
        <v>300.9581072842271</v>
      </c>
      <c r="D9" s="109">
        <f t="shared" si="0"/>
        <v>143.25176994746218</v>
      </c>
      <c r="E9" s="109">
        <f t="shared" si="0"/>
        <v>3.608727987674211</v>
      </c>
      <c r="F9" s="109">
        <f t="shared" si="0"/>
        <v>105.07999382376303</v>
      </c>
      <c r="G9" s="109">
        <f t="shared" si="0"/>
        <v>39.627458349392114</v>
      </c>
      <c r="H9" s="109">
        <f t="shared" si="0"/>
        <v>592.5260573925186</v>
      </c>
      <c r="I9" s="97"/>
      <c r="J9" s="97"/>
      <c r="K9" s="97"/>
      <c r="L9" s="97"/>
      <c r="M9" s="97"/>
      <c r="N9" s="97"/>
      <c r="O9" s="94"/>
      <c r="P9" s="94"/>
      <c r="Q9" s="94"/>
      <c r="R9" s="94"/>
      <c r="S9" s="94"/>
      <c r="T9" s="94"/>
    </row>
    <row r="10" spans="1:20" s="1" customFormat="1" ht="64.5" customHeight="1">
      <c r="A10" s="107" t="s">
        <v>28</v>
      </c>
      <c r="B10" s="64" t="s">
        <v>29</v>
      </c>
      <c r="C10" s="110">
        <f>'[5]fiche budgétaire'!B34/1000000</f>
        <v>167.06162164835968</v>
      </c>
      <c r="D10" s="110">
        <f>'[5]fiche budgétaire'!D34/1000000</f>
        <v>148.56689563526012</v>
      </c>
      <c r="E10" s="110"/>
      <c r="F10" s="110">
        <f>('[5]fiche budgétaire'!F34)/1000000</f>
        <v>52.02709120366538</v>
      </c>
      <c r="G10" s="110"/>
      <c r="H10" s="110">
        <f>SUM(C10:G10)</f>
        <v>367.6556084872851</v>
      </c>
      <c r="I10" s="111"/>
      <c r="J10" s="111"/>
      <c r="K10" s="111"/>
      <c r="L10" s="111"/>
      <c r="M10" s="111"/>
      <c r="N10" s="111"/>
      <c r="O10" s="112"/>
      <c r="P10" s="112"/>
      <c r="Q10" s="112"/>
      <c r="R10" s="112"/>
      <c r="S10" s="112"/>
      <c r="T10" s="112"/>
    </row>
    <row r="11" spans="1:20" ht="59.25" customHeight="1" thickBot="1">
      <c r="A11" s="98" t="s">
        <v>5</v>
      </c>
      <c r="B11" s="113" t="s">
        <v>6</v>
      </c>
      <c r="C11" s="72">
        <f>C7-C10-C8</f>
        <v>133.8964856358674</v>
      </c>
      <c r="D11" s="72">
        <f>D7-D10-D8</f>
        <v>-5.315125687797954</v>
      </c>
      <c r="E11" s="72">
        <f>E7-E10-E8</f>
        <v>3.608727987674211</v>
      </c>
      <c r="F11" s="72">
        <f>F7-F10-F8</f>
        <v>53.052902620097655</v>
      </c>
      <c r="G11" s="72">
        <f>G7-G10-G8</f>
        <v>39.627458349392114</v>
      </c>
      <c r="H11" s="72">
        <f>SUM(C11:G11)</f>
        <v>224.87044890523345</v>
      </c>
      <c r="I11" s="97"/>
      <c r="J11" s="97"/>
      <c r="K11" s="97"/>
      <c r="L11" s="97"/>
      <c r="M11" s="97"/>
      <c r="N11" s="97"/>
      <c r="O11" s="94"/>
      <c r="P11" s="94"/>
      <c r="Q11" s="94"/>
      <c r="R11" s="94"/>
      <c r="S11" s="94"/>
      <c r="T11" s="94"/>
    </row>
    <row r="12" spans="1:20" s="118" customFormat="1" ht="39.75" customHeight="1">
      <c r="A12" s="114"/>
      <c r="B12" s="74"/>
      <c r="C12" s="75"/>
      <c r="D12" s="75"/>
      <c r="E12" s="75"/>
      <c r="F12" s="75"/>
      <c r="G12" s="75"/>
      <c r="H12" s="115"/>
      <c r="I12" s="116"/>
      <c r="J12" s="116"/>
      <c r="K12" s="116"/>
      <c r="L12" s="116"/>
      <c r="M12" s="116"/>
      <c r="N12" s="116"/>
      <c r="O12" s="117"/>
      <c r="P12" s="117"/>
      <c r="Q12" s="117"/>
      <c r="R12" s="117"/>
      <c r="S12" s="117"/>
      <c r="T12" s="117"/>
    </row>
  </sheetData>
  <printOptions/>
  <pageMargins left="0" right="0" top="0.1968503937007874" bottom="0.3937007874015748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113">
    <pageSetUpPr fitToPage="1"/>
  </sheetPr>
  <dimension ref="A1:S13"/>
  <sheetViews>
    <sheetView zoomScale="75" zoomScaleNormal="75" workbookViewId="0" topLeftCell="A7">
      <selection activeCell="H9" sqref="H9"/>
    </sheetView>
  </sheetViews>
  <sheetFormatPr defaultColWidth="11.421875" defaultRowHeight="12.75"/>
  <cols>
    <col min="1" max="1" width="16.00390625" style="20" customWidth="1"/>
    <col min="2" max="2" width="39.8515625" style="20" customWidth="1"/>
    <col min="3" max="3" width="24.7109375" style="20" customWidth="1"/>
    <col min="4" max="4" width="20.140625" style="20" customWidth="1"/>
    <col min="5" max="5" width="21.421875" style="20" customWidth="1"/>
    <col min="6" max="6" width="23.140625" style="20" customWidth="1"/>
    <col min="7" max="7" width="21.8515625" style="20" customWidth="1"/>
    <col min="8" max="8" width="22.57421875" style="20" customWidth="1"/>
    <col min="9" max="16384" width="8.421875" style="20" customWidth="1"/>
  </cols>
  <sheetData>
    <row r="1" spans="1:8" ht="48" customHeight="1">
      <c r="A1" s="148" t="s">
        <v>15</v>
      </c>
      <c r="B1" s="149"/>
      <c r="C1" s="149"/>
      <c r="D1" s="149"/>
      <c r="E1" s="149"/>
      <c r="F1" s="149"/>
      <c r="G1" s="149"/>
      <c r="H1" s="149"/>
    </row>
    <row r="2" spans="1:7" ht="15.75" customHeight="1" thickBot="1">
      <c r="A2" s="20" t="s">
        <v>52</v>
      </c>
      <c r="B2" s="21"/>
      <c r="C2" s="21"/>
      <c r="D2" s="21"/>
      <c r="E2" s="21"/>
      <c r="F2" s="22"/>
      <c r="G2" s="21"/>
    </row>
    <row r="3" spans="1:19" ht="33.75" customHeight="1" thickBot="1">
      <c r="A3" s="20" t="s">
        <v>46</v>
      </c>
      <c r="B3" s="23"/>
      <c r="C3" s="24" t="s">
        <v>16</v>
      </c>
      <c r="D3" s="25" t="s">
        <v>13</v>
      </c>
      <c r="E3" s="26" t="s">
        <v>17</v>
      </c>
      <c r="F3" s="26" t="s">
        <v>18</v>
      </c>
      <c r="G3" s="26" t="s">
        <v>14</v>
      </c>
      <c r="H3" s="27" t="s">
        <v>19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49.5" customHeight="1">
      <c r="A4" s="29" t="s">
        <v>20</v>
      </c>
      <c r="B4" s="30" t="s">
        <v>21</v>
      </c>
      <c r="C4" s="31">
        <f>'[1]60 stock-franchMV-1,4SMIC'!C4</f>
        <v>184093.460208</v>
      </c>
      <c r="D4" s="32">
        <f>'[1]60 stock-franchMV-1,4SMIC'!D4</f>
        <v>66437.865</v>
      </c>
      <c r="E4" s="31">
        <f>'[1]60 stock-franchMV-1,4SMIC'!E4</f>
        <v>5203</v>
      </c>
      <c r="F4" s="31">
        <f>'[1]60 stock-franchMV-1,4SMIC'!F4</f>
        <v>77000</v>
      </c>
      <c r="G4" s="31">
        <f>'[1]60 stock-franchMV-1,4SMIC'!G4</f>
        <v>44000</v>
      </c>
      <c r="H4" s="33">
        <f>SUM(C4:G4)</f>
        <v>376734.325208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45" customHeight="1">
      <c r="A5" s="34" t="s">
        <v>22</v>
      </c>
      <c r="B5" s="35" t="s">
        <v>23</v>
      </c>
      <c r="C5" s="36">
        <f>'[1]60 stock-franchMV-1,4SMIC'!C5</f>
        <v>176015.650104</v>
      </c>
      <c r="D5" s="37">
        <f>'[1]60 stock-franchMV-1,4SMIC'!D5</f>
        <v>66076.4325</v>
      </c>
      <c r="E5" s="36">
        <f>'[1]60 stock-franchMV-1,4SMIC'!E5</f>
        <v>5203</v>
      </c>
      <c r="F5" s="36"/>
      <c r="G5" s="36"/>
      <c r="H5" s="38">
        <f>SUM(C5:E5)</f>
        <v>247295.082604</v>
      </c>
      <c r="I5" s="39"/>
      <c r="J5" s="39"/>
      <c r="K5" s="39"/>
      <c r="L5" s="39"/>
      <c r="M5" s="39"/>
      <c r="N5" s="28"/>
      <c r="O5" s="28"/>
      <c r="P5" s="28"/>
      <c r="Q5" s="28"/>
      <c r="R5" s="28"/>
      <c r="S5" s="28"/>
    </row>
    <row r="6" spans="1:19" ht="48.75" customHeight="1" thickBot="1">
      <c r="A6" s="40" t="s">
        <v>24</v>
      </c>
      <c r="B6" s="41" t="s">
        <v>25</v>
      </c>
      <c r="C6" s="42"/>
      <c r="D6" s="43"/>
      <c r="E6" s="42"/>
      <c r="F6" s="42">
        <v>7350</v>
      </c>
      <c r="G6" s="42">
        <v>4200</v>
      </c>
      <c r="H6" s="44">
        <f>SUM(F6:G6)</f>
        <v>11550</v>
      </c>
      <c r="I6" s="39"/>
      <c r="J6" s="39"/>
      <c r="K6" s="39"/>
      <c r="L6" s="39"/>
      <c r="M6" s="39"/>
      <c r="N6" s="28"/>
      <c r="O6" s="28"/>
      <c r="P6" s="28"/>
      <c r="Q6" s="28"/>
      <c r="R6" s="28"/>
      <c r="S6" s="28"/>
    </row>
    <row r="7" spans="1:19" ht="65.25" customHeight="1">
      <c r="A7" s="45" t="s">
        <v>26</v>
      </c>
      <c r="B7" s="30" t="s">
        <v>27</v>
      </c>
      <c r="C7" s="46">
        <f>C8*1000000/C5/12</f>
        <v>127.41616182737039</v>
      </c>
      <c r="D7" s="47">
        <f>D8*1000000/D5/12</f>
        <v>144.74117546744486</v>
      </c>
      <c r="E7" s="46">
        <f>E8*1000000/E5/12</f>
        <v>60.91264331840306</v>
      </c>
      <c r="F7" s="46">
        <f>F8*1000000/F6/6</f>
        <v>200.87671414946672</v>
      </c>
      <c r="G7" s="46">
        <f>G8*1000000/G6/6</f>
        <v>143.09026213386667</v>
      </c>
      <c r="H7" s="48"/>
      <c r="I7" s="39"/>
      <c r="J7" s="39"/>
      <c r="K7" s="39"/>
      <c r="L7" s="39"/>
      <c r="M7" s="39"/>
      <c r="N7" s="28"/>
      <c r="O7" s="28"/>
      <c r="P7" s="28"/>
      <c r="Q7" s="28"/>
      <c r="R7" s="28"/>
      <c r="S7" s="28"/>
    </row>
    <row r="8" spans="1:19" ht="54" customHeight="1" thickBot="1">
      <c r="A8" s="49" t="s">
        <v>0</v>
      </c>
      <c r="B8" s="50" t="s">
        <v>1</v>
      </c>
      <c r="C8" s="51">
        <f>'[1]60 stock-franchMV-1,4SMIC'!C7</f>
        <v>269.1268626936128</v>
      </c>
      <c r="D8" s="52">
        <f>'[1]60 stock-franchMV-1,4SMIC'!D7</f>
        <v>114.76776612894331</v>
      </c>
      <c r="E8" s="51">
        <f>'[1]60 stock-franchMV-1,4SMIC'!E7</f>
        <v>3.8031417982278137</v>
      </c>
      <c r="F8" s="51">
        <f>'[1]Entrées Gér hosp-135 (2)'!J9/1000000</f>
        <v>8.858663093991483</v>
      </c>
      <c r="G8" s="51">
        <f>'[1]entrées Grce priv-96(2)'!J9/1000000</f>
        <v>3.6058746057734408</v>
      </c>
      <c r="H8" s="53">
        <f>C8+D8+E8+F8+G8</f>
        <v>400.1623083205489</v>
      </c>
      <c r="I8" s="39"/>
      <c r="J8" s="39"/>
      <c r="K8" s="39"/>
      <c r="L8" s="39"/>
      <c r="M8" s="39"/>
      <c r="N8" s="28"/>
      <c r="O8" s="28"/>
      <c r="P8" s="28"/>
      <c r="Q8" s="28"/>
      <c r="R8" s="28"/>
      <c r="S8" s="28"/>
    </row>
    <row r="9" spans="1:19" ht="63.75" customHeight="1" thickBot="1">
      <c r="A9" s="54" t="s">
        <v>2</v>
      </c>
      <c r="B9" s="55" t="s">
        <v>34</v>
      </c>
      <c r="C9" s="56">
        <f>'[1]franchise MV seuil 1,4 SMIC'!B31/1000000+'[1]prél TE-TPSA au dessus 1,4SMIC'!T11/1000000</f>
        <v>37.48422894964101</v>
      </c>
      <c r="D9" s="57">
        <f>'[1]franchise MV seuil 1,4 SMIC'!E31/1000000+'[1]prél TE-TPSA au dessus 1,4SMIC'!T9/1000000</f>
        <v>3.8718025998362444</v>
      </c>
      <c r="E9" s="5">
        <f>'[1]60 stock-franchMV-1,4SMIC'!E8</f>
        <v>1.059409948645785</v>
      </c>
      <c r="F9" s="58">
        <f>('[1]60 stock-franchMV-1,4SMIC'!F8)*0.1</f>
        <v>1.2986802764128065</v>
      </c>
      <c r="G9" s="58">
        <f>('[1]60 stock-franchMV-1,4SMIC'!G8)*0.1</f>
        <v>1.4297789384060764</v>
      </c>
      <c r="H9" s="59">
        <f>C9+D9+E9+F9+G9</f>
        <v>45.143900712941914</v>
      </c>
      <c r="I9" s="39"/>
      <c r="J9" s="39"/>
      <c r="K9" s="39"/>
      <c r="L9" s="39"/>
      <c r="M9" s="39"/>
      <c r="N9" s="28"/>
      <c r="O9" s="28"/>
      <c r="P9" s="28"/>
      <c r="Q9" s="28"/>
      <c r="R9" s="28"/>
      <c r="S9" s="28"/>
    </row>
    <row r="10" spans="1:19" ht="60" customHeight="1" thickBot="1">
      <c r="A10" s="54" t="s">
        <v>3</v>
      </c>
      <c r="B10" s="60" t="s">
        <v>4</v>
      </c>
      <c r="C10" s="61">
        <f>C8-C9</f>
        <v>231.64263374397177</v>
      </c>
      <c r="D10" s="6">
        <f>D8-D9</f>
        <v>110.89596352910706</v>
      </c>
      <c r="E10" s="61">
        <f>E8-E9</f>
        <v>2.7437318495820286</v>
      </c>
      <c r="F10" s="61">
        <f>F8-F9</f>
        <v>7.5599828175786765</v>
      </c>
      <c r="G10" s="61">
        <f>G8-G9</f>
        <v>2.176095667367364</v>
      </c>
      <c r="H10" s="62">
        <f>C10+D10+E10+F10+G10</f>
        <v>355.0184076076069</v>
      </c>
      <c r="I10" s="39"/>
      <c r="J10" s="39"/>
      <c r="K10" s="39"/>
      <c r="L10" s="39"/>
      <c r="M10" s="39"/>
      <c r="N10" s="28"/>
      <c r="O10" s="28"/>
      <c r="P10" s="28"/>
      <c r="Q10" s="28"/>
      <c r="R10" s="28"/>
      <c r="S10" s="28"/>
    </row>
    <row r="11" spans="1:19" s="71" customFormat="1" ht="67.5" customHeight="1">
      <c r="A11" s="63" t="s">
        <v>28</v>
      </c>
      <c r="B11" s="64" t="s">
        <v>29</v>
      </c>
      <c r="C11" s="65">
        <f>'[1]60 stock-franchMV-1,4SMIC'!C10</f>
        <v>167.06162164835968</v>
      </c>
      <c r="D11" s="66">
        <f>'[1]60 stock-franchMV-1,4SMIC'!D10</f>
        <v>148.56689563526012</v>
      </c>
      <c r="E11" s="67">
        <v>0</v>
      </c>
      <c r="F11" s="67">
        <f>'[1]60 stock-franchMV-1,4SMIC'!F10*0.1</f>
        <v>5.2027091203665385</v>
      </c>
      <c r="G11" s="67">
        <v>0</v>
      </c>
      <c r="H11" s="68">
        <f>C11+D11+E11+F11+G11</f>
        <v>320.8312264039863</v>
      </c>
      <c r="I11" s="69"/>
      <c r="J11" s="69"/>
      <c r="K11" s="69"/>
      <c r="L11" s="69"/>
      <c r="M11" s="69"/>
      <c r="N11" s="70"/>
      <c r="O11" s="70"/>
      <c r="P11" s="70"/>
      <c r="Q11" s="70"/>
      <c r="R11" s="70"/>
      <c r="S11" s="70"/>
    </row>
    <row r="12" spans="1:19" s="71" customFormat="1" ht="69.75" customHeight="1" thickBot="1">
      <c r="A12" s="49" t="s">
        <v>5</v>
      </c>
      <c r="B12" s="50" t="s">
        <v>6</v>
      </c>
      <c r="C12" s="72">
        <f>C10-C11</f>
        <v>64.5810120956121</v>
      </c>
      <c r="D12" s="73">
        <f>D10-D11</f>
        <v>-37.67093210615306</v>
      </c>
      <c r="E12" s="72">
        <f>E10-E11</f>
        <v>2.7437318495820286</v>
      </c>
      <c r="F12" s="72">
        <f>F10-F11</f>
        <v>2.357273697212138</v>
      </c>
      <c r="G12" s="72">
        <f>G10-G11</f>
        <v>2.176095667367364</v>
      </c>
      <c r="H12" s="53">
        <f>C12+D12+E12+F12+G12</f>
        <v>34.18718120362057</v>
      </c>
      <c r="I12" s="69"/>
      <c r="J12" s="69"/>
      <c r="K12" s="69"/>
      <c r="L12" s="69"/>
      <c r="M12" s="69"/>
      <c r="N12" s="70"/>
      <c r="O12" s="70"/>
      <c r="P12" s="70"/>
      <c r="Q12" s="70"/>
      <c r="R12" s="70"/>
      <c r="S12" s="70"/>
    </row>
    <row r="13" spans="2:19" s="71" customFormat="1" ht="36.75" customHeight="1">
      <c r="B13" s="74"/>
      <c r="C13" s="75"/>
      <c r="D13" s="75"/>
      <c r="E13" s="75"/>
      <c r="F13" s="75"/>
      <c r="G13" s="75"/>
      <c r="H13" s="91"/>
      <c r="I13" s="69"/>
      <c r="J13" s="69"/>
      <c r="K13" s="69"/>
      <c r="L13" s="69"/>
      <c r="M13" s="69"/>
      <c r="N13" s="70"/>
      <c r="O13" s="70"/>
      <c r="P13" s="70"/>
      <c r="Q13" s="70"/>
      <c r="R13" s="70"/>
      <c r="S13" s="70"/>
    </row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Header xml:space="preserve">&amp;LAnnexe 18 - H 1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1131">
    <pageSetUpPr fitToPage="1"/>
  </sheetPr>
  <dimension ref="A1:S13"/>
  <sheetViews>
    <sheetView zoomScale="75" zoomScaleNormal="75" workbookViewId="0" topLeftCell="A8">
      <selection activeCell="H9" sqref="H9"/>
    </sheetView>
  </sheetViews>
  <sheetFormatPr defaultColWidth="11.421875" defaultRowHeight="12.75"/>
  <cols>
    <col min="1" max="1" width="16.00390625" style="20" customWidth="1"/>
    <col min="2" max="2" width="39.8515625" style="20" customWidth="1"/>
    <col min="3" max="3" width="24.7109375" style="20" customWidth="1"/>
    <col min="4" max="4" width="20.140625" style="20" customWidth="1"/>
    <col min="5" max="5" width="21.421875" style="20" customWidth="1"/>
    <col min="6" max="6" width="23.140625" style="20" customWidth="1"/>
    <col min="7" max="7" width="21.8515625" style="20" customWidth="1"/>
    <col min="8" max="8" width="22.57421875" style="20" customWidth="1"/>
    <col min="9" max="16384" width="7.28125" style="20" customWidth="1"/>
  </cols>
  <sheetData>
    <row r="1" spans="1:8" ht="48" customHeight="1">
      <c r="A1" s="148" t="s">
        <v>15</v>
      </c>
      <c r="B1" s="149"/>
      <c r="C1" s="149"/>
      <c r="D1" s="149"/>
      <c r="E1" s="149"/>
      <c r="F1" s="149"/>
      <c r="G1" s="149"/>
      <c r="H1" s="149"/>
    </row>
    <row r="2" spans="1:7" ht="15.75" customHeight="1" thickBot="1">
      <c r="A2" s="20" t="s">
        <v>53</v>
      </c>
      <c r="B2" s="21"/>
      <c r="C2" s="21"/>
      <c r="D2" s="21"/>
      <c r="E2" s="21"/>
      <c r="F2" s="22"/>
      <c r="G2" s="21"/>
    </row>
    <row r="3" spans="1:19" ht="33.75" customHeight="1" thickBot="1">
      <c r="A3" s="20" t="s">
        <v>46</v>
      </c>
      <c r="B3" s="23"/>
      <c r="C3" s="24" t="s">
        <v>16</v>
      </c>
      <c r="D3" s="25" t="s">
        <v>13</v>
      </c>
      <c r="E3" s="26" t="s">
        <v>17</v>
      </c>
      <c r="F3" s="26" t="s">
        <v>18</v>
      </c>
      <c r="G3" s="26" t="s">
        <v>14</v>
      </c>
      <c r="H3" s="27" t="s">
        <v>19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49.5" customHeight="1">
      <c r="A4" s="29" t="s">
        <v>20</v>
      </c>
      <c r="B4" s="30" t="s">
        <v>21</v>
      </c>
      <c r="C4" s="31">
        <f>'[2]55 stock-franchMV-1,4SMIC'!C4</f>
        <v>184093.460208</v>
      </c>
      <c r="D4" s="32">
        <f>'[2]55 stock-franchMV-1,4SMIC'!D4</f>
        <v>66437.865</v>
      </c>
      <c r="E4" s="31">
        <f>'[2]55 stock-franchMV-1,4SMIC'!E4</f>
        <v>5203</v>
      </c>
      <c r="F4" s="31">
        <f>'[2]55 stock-franchMV-1,4SMIC'!F4</f>
        <v>77000</v>
      </c>
      <c r="G4" s="31">
        <f>'[2]55 stock-franchMV-1,4SMIC'!G4</f>
        <v>44000</v>
      </c>
      <c r="H4" s="33">
        <f>SUM(C4:G4)</f>
        <v>376734.325208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45" customHeight="1">
      <c r="A5" s="34" t="s">
        <v>22</v>
      </c>
      <c r="B5" s="35" t="s">
        <v>23</v>
      </c>
      <c r="C5" s="36">
        <f>'[2]55 stock-franchMV-1,4SMIC'!C5</f>
        <v>176015.650104</v>
      </c>
      <c r="D5" s="37">
        <f>'[2]55 stock-franchMV-1,4SMIC'!D5</f>
        <v>66076.4325</v>
      </c>
      <c r="E5" s="36">
        <f>'[2]55 stock-franchMV-1,4SMIC'!E5</f>
        <v>5203</v>
      </c>
      <c r="F5" s="36"/>
      <c r="G5" s="36"/>
      <c r="H5" s="38">
        <f>SUM(C5:E5)</f>
        <v>247295.082604</v>
      </c>
      <c r="I5" s="39"/>
      <c r="J5" s="39"/>
      <c r="K5" s="39"/>
      <c r="L5" s="39"/>
      <c r="M5" s="39"/>
      <c r="N5" s="28"/>
      <c r="O5" s="28"/>
      <c r="P5" s="28"/>
      <c r="Q5" s="28"/>
      <c r="R5" s="28"/>
      <c r="S5" s="28"/>
    </row>
    <row r="6" spans="1:19" ht="48.75" customHeight="1" thickBot="1">
      <c r="A6" s="40" t="s">
        <v>24</v>
      </c>
      <c r="B6" s="41" t="s">
        <v>25</v>
      </c>
      <c r="C6" s="42"/>
      <c r="D6" s="43"/>
      <c r="E6" s="42"/>
      <c r="F6" s="42">
        <v>7350</v>
      </c>
      <c r="G6" s="42">
        <v>4200</v>
      </c>
      <c r="H6" s="44">
        <f>SUM(F6:G6)</f>
        <v>11550</v>
      </c>
      <c r="I6" s="39"/>
      <c r="J6" s="39"/>
      <c r="K6" s="39"/>
      <c r="L6" s="39"/>
      <c r="M6" s="39"/>
      <c r="N6" s="28"/>
      <c r="O6" s="28"/>
      <c r="P6" s="28"/>
      <c r="Q6" s="28"/>
      <c r="R6" s="28"/>
      <c r="S6" s="28"/>
    </row>
    <row r="7" spans="1:19" ht="65.25" customHeight="1">
      <c r="A7" s="45" t="s">
        <v>26</v>
      </c>
      <c r="B7" s="30" t="s">
        <v>27</v>
      </c>
      <c r="C7" s="46">
        <f>C8*1000000/C5/12</f>
        <v>137.01600963628186</v>
      </c>
      <c r="D7" s="47">
        <f>D8*1000000/D5/12</f>
        <v>155.64633252321127</v>
      </c>
      <c r="E7" s="46">
        <f>E8*1000000/E5/12</f>
        <v>65.50195206157044</v>
      </c>
      <c r="F7" s="46">
        <f>F8*1000000/F6/6</f>
        <v>216.0112611059334</v>
      </c>
      <c r="G7" s="46">
        <f>G8*1000000/G6/6</f>
        <v>156.09846778239998</v>
      </c>
      <c r="H7" s="48"/>
      <c r="I7" s="39"/>
      <c r="J7" s="39"/>
      <c r="K7" s="39"/>
      <c r="L7" s="39"/>
      <c r="M7" s="39"/>
      <c r="N7" s="28"/>
      <c r="O7" s="28"/>
      <c r="P7" s="28"/>
      <c r="Q7" s="28"/>
      <c r="R7" s="28"/>
      <c r="S7" s="28"/>
    </row>
    <row r="8" spans="1:19" ht="54" customHeight="1" thickBot="1">
      <c r="A8" s="49" t="s">
        <v>0</v>
      </c>
      <c r="B8" s="50" t="s">
        <v>1</v>
      </c>
      <c r="C8" s="51">
        <f>'[2]55 stock-franchMV-1,4SMIC'!C7</f>
        <v>289.403544129433</v>
      </c>
      <c r="D8" s="52">
        <f>'[2]55 stock-franchMV-1,4SMIC'!D7</f>
        <v>123.41465261811027</v>
      </c>
      <c r="E8" s="51">
        <f>'[2]55 stock-franchMV-1,4SMIC'!E7</f>
        <v>4.089679878916212</v>
      </c>
      <c r="F8" s="51">
        <f>'[2]Entrées Gér hosp-135 (2)'!J9/1000000</f>
        <v>9.526096614771662</v>
      </c>
      <c r="G8" s="51">
        <f>'[2]entrées Grce priv-96(2)'!J9/1000000</f>
        <v>3.93368138811648</v>
      </c>
      <c r="H8" s="53">
        <f>C8+D8+E8+F8+G8</f>
        <v>430.36765462934767</v>
      </c>
      <c r="I8" s="39"/>
      <c r="J8" s="39"/>
      <c r="K8" s="39"/>
      <c r="L8" s="39"/>
      <c r="M8" s="39"/>
      <c r="N8" s="28"/>
      <c r="O8" s="28"/>
      <c r="P8" s="28"/>
      <c r="Q8" s="28"/>
      <c r="R8" s="28"/>
      <c r="S8" s="28"/>
    </row>
    <row r="9" spans="1:19" ht="63.75" customHeight="1" thickBot="1">
      <c r="A9" s="54" t="s">
        <v>2</v>
      </c>
      <c r="B9" s="55" t="s">
        <v>35</v>
      </c>
      <c r="C9" s="56">
        <f>'[2]franchise MV seuil 1,4 SMIC'!B31/1000000+'[2]prél TE-TPSA au dessus 1,4SMIC'!T11/1000000</f>
        <v>41.27611362348038</v>
      </c>
      <c r="D9" s="57">
        <f>'[2]franchise MV seuil 1,4 SMIC'!E31/1000000+'[2]prél TE-TPSA au dessus 1,4SMIC'!T9/1000000</f>
        <v>4.264434549865229</v>
      </c>
      <c r="E9" s="5">
        <f>'[2]55 stock-franchMV-1,4SMIC'!E8</f>
        <v>1.1665792958659145</v>
      </c>
      <c r="F9" s="58">
        <f>('[2]55 stock-franchMV-1,4SMIC'!F8)*0.1</f>
        <v>1.4299295709236455</v>
      </c>
      <c r="G9" s="58">
        <f>('[2]55 stock-franchMV-1,4SMIC'!G8)*0.1</f>
        <v>1.5638130149927265</v>
      </c>
      <c r="H9" s="59">
        <f>C9+D9+E9+F9+G9</f>
        <v>49.70087005512789</v>
      </c>
      <c r="I9" s="39"/>
      <c r="J9" s="39"/>
      <c r="K9" s="39"/>
      <c r="L9" s="39"/>
      <c r="M9" s="39"/>
      <c r="N9" s="28"/>
      <c r="O9" s="28"/>
      <c r="P9" s="28"/>
      <c r="Q9" s="28"/>
      <c r="R9" s="28"/>
      <c r="S9" s="28"/>
    </row>
    <row r="10" spans="1:19" ht="60" customHeight="1" thickBot="1">
      <c r="A10" s="54" t="s">
        <v>3</v>
      </c>
      <c r="B10" s="60" t="s">
        <v>4</v>
      </c>
      <c r="C10" s="61">
        <f>C8-C9</f>
        <v>248.12743050595262</v>
      </c>
      <c r="D10" s="6">
        <f>D8-D9</f>
        <v>119.15021806824504</v>
      </c>
      <c r="E10" s="61">
        <f>E8-E9</f>
        <v>2.9231005830502976</v>
      </c>
      <c r="F10" s="61">
        <f>F8-F9</f>
        <v>8.096167043848016</v>
      </c>
      <c r="G10" s="61">
        <f>G8-G9</f>
        <v>2.3698683731237535</v>
      </c>
      <c r="H10" s="62">
        <f>C10+D10+E10+F10+G10</f>
        <v>380.6667845742198</v>
      </c>
      <c r="I10" s="39"/>
      <c r="J10" s="39"/>
      <c r="K10" s="39"/>
      <c r="L10" s="39"/>
      <c r="M10" s="39"/>
      <c r="N10" s="28"/>
      <c r="O10" s="28"/>
      <c r="P10" s="28"/>
      <c r="Q10" s="28"/>
      <c r="R10" s="28"/>
      <c r="S10" s="28"/>
    </row>
    <row r="11" spans="1:19" s="71" customFormat="1" ht="67.5" customHeight="1">
      <c r="A11" s="63" t="s">
        <v>28</v>
      </c>
      <c r="B11" s="64" t="s">
        <v>29</v>
      </c>
      <c r="C11" s="65">
        <f>'[2]55 stock-franchMV-1,4SMIC'!C10</f>
        <v>167.06162164835968</v>
      </c>
      <c r="D11" s="66">
        <f>'[2]55 stock-franchMV-1,4SMIC'!D10</f>
        <v>148.56689563526012</v>
      </c>
      <c r="E11" s="67">
        <v>0</v>
      </c>
      <c r="F11" s="67">
        <f>'[2]55 stock-franchMV-1,4SMIC'!F10*0.1</f>
        <v>5.2027091203665385</v>
      </c>
      <c r="G11" s="67">
        <v>0</v>
      </c>
      <c r="H11" s="68">
        <f>C11+D11+E11+F11+G11</f>
        <v>320.8312264039863</v>
      </c>
      <c r="I11" s="69"/>
      <c r="J11" s="69"/>
      <c r="K11" s="69"/>
      <c r="L11" s="69"/>
      <c r="M11" s="69"/>
      <c r="N11" s="70"/>
      <c r="O11" s="70"/>
      <c r="P11" s="70"/>
      <c r="Q11" s="70"/>
      <c r="R11" s="70"/>
      <c r="S11" s="70"/>
    </row>
    <row r="12" spans="1:19" s="71" customFormat="1" ht="69.75" customHeight="1" thickBot="1">
      <c r="A12" s="49" t="s">
        <v>5</v>
      </c>
      <c r="B12" s="50" t="s">
        <v>6</v>
      </c>
      <c r="C12" s="72">
        <f>C10-C11</f>
        <v>81.06580885759294</v>
      </c>
      <c r="D12" s="73">
        <f>D10-D11</f>
        <v>-29.416677567015086</v>
      </c>
      <c r="E12" s="72">
        <f>E10-E11</f>
        <v>2.9231005830502976</v>
      </c>
      <c r="F12" s="72">
        <f>F10-F11</f>
        <v>2.8934579234814777</v>
      </c>
      <c r="G12" s="72">
        <f>G10-G11</f>
        <v>2.3698683731237535</v>
      </c>
      <c r="H12" s="53">
        <f>C12+D12+E12+F12+G12</f>
        <v>59.835558170233384</v>
      </c>
      <c r="I12" s="69"/>
      <c r="J12" s="69"/>
      <c r="K12" s="69"/>
      <c r="L12" s="69"/>
      <c r="M12" s="69"/>
      <c r="N12" s="70"/>
      <c r="O12" s="70"/>
      <c r="P12" s="70"/>
      <c r="Q12" s="70"/>
      <c r="R12" s="70"/>
      <c r="S12" s="70"/>
    </row>
    <row r="13" spans="2:19" s="71" customFormat="1" ht="36.75" customHeight="1">
      <c r="B13" s="74"/>
      <c r="C13" s="75"/>
      <c r="D13" s="75"/>
      <c r="E13" s="75"/>
      <c r="F13" s="75"/>
      <c r="G13" s="75"/>
      <c r="H13" s="91"/>
      <c r="I13" s="69"/>
      <c r="J13" s="69"/>
      <c r="K13" s="69"/>
      <c r="L13" s="69"/>
      <c r="M13" s="69"/>
      <c r="N13" s="70"/>
      <c r="O13" s="70"/>
      <c r="P13" s="70"/>
      <c r="Q13" s="70"/>
      <c r="R13" s="70"/>
      <c r="S13" s="70"/>
    </row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&amp;LAnnexe 18 - H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1132">
    <pageSetUpPr fitToPage="1"/>
  </sheetPr>
  <dimension ref="A1:S13"/>
  <sheetViews>
    <sheetView zoomScale="75" zoomScaleNormal="75" workbookViewId="0" topLeftCell="C5">
      <selection activeCell="H9" sqref="H9"/>
    </sheetView>
  </sheetViews>
  <sheetFormatPr defaultColWidth="11.421875" defaultRowHeight="12.75"/>
  <cols>
    <col min="1" max="1" width="16.00390625" style="20" customWidth="1"/>
    <col min="2" max="2" width="39.8515625" style="20" customWidth="1"/>
    <col min="3" max="3" width="24.7109375" style="20" customWidth="1"/>
    <col min="4" max="4" width="20.140625" style="20" customWidth="1"/>
    <col min="5" max="5" width="21.421875" style="20" customWidth="1"/>
    <col min="6" max="6" width="23.140625" style="20" customWidth="1"/>
    <col min="7" max="7" width="21.8515625" style="20" customWidth="1"/>
    <col min="8" max="8" width="22.57421875" style="20" customWidth="1"/>
    <col min="9" max="16384" width="7.28125" style="20" customWidth="1"/>
  </cols>
  <sheetData>
    <row r="1" spans="1:8" ht="48" customHeight="1">
      <c r="A1" s="148" t="s">
        <v>15</v>
      </c>
      <c r="B1" s="149"/>
      <c r="C1" s="149"/>
      <c r="D1" s="149"/>
      <c r="E1" s="149"/>
      <c r="F1" s="149"/>
      <c r="G1" s="149"/>
      <c r="H1" s="149"/>
    </row>
    <row r="2" spans="1:7" ht="15.75" customHeight="1" thickBot="1">
      <c r="A2" s="20" t="s">
        <v>44</v>
      </c>
      <c r="B2" s="21"/>
      <c r="C2" s="21"/>
      <c r="D2" s="21"/>
      <c r="E2" s="21"/>
      <c r="F2" s="22"/>
      <c r="G2" s="21"/>
    </row>
    <row r="3" spans="1:19" ht="33.75" customHeight="1" thickBot="1">
      <c r="A3" s="20" t="s">
        <v>46</v>
      </c>
      <c r="B3" s="23"/>
      <c r="C3" s="24" t="s">
        <v>16</v>
      </c>
      <c r="D3" s="25" t="s">
        <v>13</v>
      </c>
      <c r="E3" s="26" t="s">
        <v>17</v>
      </c>
      <c r="F3" s="26" t="s">
        <v>18</v>
      </c>
      <c r="G3" s="26" t="s">
        <v>14</v>
      </c>
      <c r="H3" s="27" t="s">
        <v>19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49.5" customHeight="1">
      <c r="A4" s="29" t="s">
        <v>20</v>
      </c>
      <c r="B4" s="30" t="s">
        <v>21</v>
      </c>
      <c r="C4" s="31">
        <f>'[3]50 stock-franchMV-1,4SMIC'!C4</f>
        <v>184093.460208</v>
      </c>
      <c r="D4" s="32">
        <f>'[3]50 stock-franchMV-1,4SMIC'!D4</f>
        <v>66437.865</v>
      </c>
      <c r="E4" s="31">
        <f>'[3]50 stock-franchMV-1,4SMIC'!E4</f>
        <v>5203</v>
      </c>
      <c r="F4" s="31">
        <f>'[3]50 stock-franchMV-1,4SMIC'!F4</f>
        <v>77000</v>
      </c>
      <c r="G4" s="31">
        <f>'[3]50 stock-franchMV-1,4SMIC'!G4</f>
        <v>44000</v>
      </c>
      <c r="H4" s="33">
        <f>SUM(C4:G4)</f>
        <v>376734.325208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45" customHeight="1">
      <c r="A5" s="34" t="s">
        <v>22</v>
      </c>
      <c r="B5" s="35" t="s">
        <v>23</v>
      </c>
      <c r="C5" s="36">
        <f>'[3]50 stock-franchMV-1,4SMIC'!C5</f>
        <v>176015.650104</v>
      </c>
      <c r="D5" s="37">
        <f>'[3]50 stock-franchMV-1,4SMIC'!D5</f>
        <v>66076.4325</v>
      </c>
      <c r="E5" s="36">
        <f>'[3]50 stock-franchMV-1,4SMIC'!E5</f>
        <v>5203</v>
      </c>
      <c r="F5" s="36"/>
      <c r="G5" s="36"/>
      <c r="H5" s="38">
        <f>SUM(C5:E5)</f>
        <v>247295.082604</v>
      </c>
      <c r="I5" s="39"/>
      <c r="J5" s="39"/>
      <c r="K5" s="39"/>
      <c r="L5" s="39"/>
      <c r="M5" s="39"/>
      <c r="N5" s="28"/>
      <c r="O5" s="28"/>
      <c r="P5" s="28"/>
      <c r="Q5" s="28"/>
      <c r="R5" s="28"/>
      <c r="S5" s="28"/>
    </row>
    <row r="6" spans="1:19" ht="48.75" customHeight="1" thickBot="1">
      <c r="A6" s="40" t="s">
        <v>24</v>
      </c>
      <c r="B6" s="41" t="s">
        <v>25</v>
      </c>
      <c r="C6" s="42"/>
      <c r="D6" s="43"/>
      <c r="E6" s="42"/>
      <c r="F6" s="42">
        <v>7350</v>
      </c>
      <c r="G6" s="42">
        <v>4200</v>
      </c>
      <c r="H6" s="44">
        <f>SUM(F6:G6)</f>
        <v>11550</v>
      </c>
      <c r="I6" s="39"/>
      <c r="J6" s="39"/>
      <c r="K6" s="39"/>
      <c r="L6" s="39"/>
      <c r="M6" s="39"/>
      <c r="N6" s="28"/>
      <c r="O6" s="28"/>
      <c r="P6" s="28"/>
      <c r="Q6" s="28"/>
      <c r="R6" s="28"/>
      <c r="S6" s="28"/>
    </row>
    <row r="7" spans="1:19" ht="65.25" customHeight="1">
      <c r="A7" s="45" t="s">
        <v>26</v>
      </c>
      <c r="B7" s="30" t="s">
        <v>27</v>
      </c>
      <c r="C7" s="46">
        <f>C8*1000000/C5/12</f>
        <v>145.74314400801956</v>
      </c>
      <c r="D7" s="47">
        <f>D8*1000000/D5/12</f>
        <v>165.56011166481704</v>
      </c>
      <c r="E7" s="46">
        <f>E8*1000000/E5/12</f>
        <v>69.6740509189953</v>
      </c>
      <c r="F7" s="46">
        <f>F8*1000000/F6/6</f>
        <v>229.76994015726666</v>
      </c>
      <c r="G7" s="46">
        <f>G8*1000000/G6/6</f>
        <v>172.35872484306665</v>
      </c>
      <c r="H7" s="48"/>
      <c r="I7" s="39"/>
      <c r="J7" s="39"/>
      <c r="K7" s="39"/>
      <c r="L7" s="39"/>
      <c r="M7" s="39"/>
      <c r="N7" s="28"/>
      <c r="O7" s="28"/>
      <c r="P7" s="28"/>
      <c r="Q7" s="28"/>
      <c r="R7" s="28"/>
      <c r="S7" s="28"/>
    </row>
    <row r="8" spans="1:19" ht="54" customHeight="1" thickBot="1">
      <c r="A8" s="49" t="s">
        <v>0</v>
      </c>
      <c r="B8" s="50" t="s">
        <v>1</v>
      </c>
      <c r="C8" s="51">
        <f>'[3]50 stock-franchMV-1,4SMIC'!C7</f>
        <v>307.83689088926945</v>
      </c>
      <c r="D8" s="52">
        <f>'[3]50 stock-franchMV-1,4SMIC'!D7</f>
        <v>131.27545851735294</v>
      </c>
      <c r="E8" s="51">
        <f>'[3]50 stock-franchMV-1,4SMIC'!E7</f>
        <v>4.350169043178391</v>
      </c>
      <c r="F8" s="51">
        <f>'[3]Entrées Gér hosp-135 (2)'!J9/1000000</f>
        <v>10.13285436093546</v>
      </c>
      <c r="G8" s="51">
        <f>'[3]entrées Grce priv-135 (2)'!J9/1000000</f>
        <v>4.34343986604528</v>
      </c>
      <c r="H8" s="53">
        <f>C8+D8+E8+F8+G8</f>
        <v>457.93881267678154</v>
      </c>
      <c r="I8" s="39"/>
      <c r="J8" s="39"/>
      <c r="K8" s="39"/>
      <c r="L8" s="39"/>
      <c r="M8" s="39"/>
      <c r="N8" s="28"/>
      <c r="O8" s="28"/>
      <c r="P8" s="28"/>
      <c r="Q8" s="28"/>
      <c r="R8" s="28"/>
      <c r="S8" s="28"/>
    </row>
    <row r="9" spans="1:19" ht="63.75" customHeight="1" thickBot="1">
      <c r="A9" s="54" t="s">
        <v>2</v>
      </c>
      <c r="B9" s="55" t="s">
        <v>30</v>
      </c>
      <c r="C9" s="56">
        <f>'[3]franchise MV seuil 1,4 SMIC'!B31/1000000+'[3]prél TE-TPSA au dessus 1,4SMIC'!T11/1000000</f>
        <v>44.69642595438091</v>
      </c>
      <c r="D9" s="57">
        <f>'[3]franchise MV seuil 1,4 SMIC'!E31/1000000+'[3]prél TE-TPSA au dessus 1,4SMIC'!T9/1000000</f>
        <v>4.6213774263928755</v>
      </c>
      <c r="E9" s="5">
        <f>'[3]50 stock-franchMV-1,4SMIC'!E8</f>
        <v>1.2632469615047082</v>
      </c>
      <c r="F9" s="58">
        <f>('[3]50 stock-franchMV-1,4SMIC'!F8)*0.1</f>
        <v>1.548275891493942</v>
      </c>
      <c r="G9" s="58">
        <f>('[3]50 stock-franchMV-1,4SMIC'!G8)*0.1</f>
        <v>1.680419698205137</v>
      </c>
      <c r="H9" s="59">
        <f>C9+D9+E9+F9+G9</f>
        <v>53.809745931977574</v>
      </c>
      <c r="I9" s="39"/>
      <c r="J9" s="39"/>
      <c r="K9" s="39"/>
      <c r="L9" s="39"/>
      <c r="M9" s="39"/>
      <c r="N9" s="28"/>
      <c r="O9" s="28"/>
      <c r="P9" s="28"/>
      <c r="Q9" s="28"/>
      <c r="R9" s="28"/>
      <c r="S9" s="28"/>
    </row>
    <row r="10" spans="1:19" ht="60" customHeight="1" thickBot="1">
      <c r="A10" s="54" t="s">
        <v>3</v>
      </c>
      <c r="B10" s="60" t="s">
        <v>4</v>
      </c>
      <c r="C10" s="61">
        <f>C8-C9</f>
        <v>263.14046493488854</v>
      </c>
      <c r="D10" s="6">
        <f>D8-D9</f>
        <v>126.65408109096006</v>
      </c>
      <c r="E10" s="61">
        <f>E8-E9</f>
        <v>3.0869220816736824</v>
      </c>
      <c r="F10" s="61">
        <f>F8-F9</f>
        <v>8.584578469441517</v>
      </c>
      <c r="G10" s="61">
        <f>G8-G9</f>
        <v>2.663020167840143</v>
      </c>
      <c r="H10" s="62">
        <f>C10+D10+E10+F10+G10</f>
        <v>404.12906674480394</v>
      </c>
      <c r="I10" s="39"/>
      <c r="J10" s="39"/>
      <c r="K10" s="39"/>
      <c r="L10" s="39"/>
      <c r="M10" s="39"/>
      <c r="N10" s="28"/>
      <c r="O10" s="28"/>
      <c r="P10" s="28"/>
      <c r="Q10" s="28"/>
      <c r="R10" s="28"/>
      <c r="S10" s="28"/>
    </row>
    <row r="11" spans="1:19" s="71" customFormat="1" ht="67.5" customHeight="1">
      <c r="A11" s="63" t="s">
        <v>28</v>
      </c>
      <c r="B11" s="64" t="s">
        <v>29</v>
      </c>
      <c r="C11" s="65">
        <f>'[3]50 stock-franchMV-1,4SMIC'!C10</f>
        <v>167.06162164835968</v>
      </c>
      <c r="D11" s="66">
        <f>'[3]50 stock-franchMV-1,4SMIC'!D10</f>
        <v>148.56689563526012</v>
      </c>
      <c r="E11" s="67">
        <v>0</v>
      </c>
      <c r="F11" s="67">
        <f>'[3]50 stock-franchMV-1,4SMIC'!F10*0.1</f>
        <v>5.2027091203665385</v>
      </c>
      <c r="G11" s="67">
        <v>0</v>
      </c>
      <c r="H11" s="68">
        <f>C11+D11+E11+F11+G11</f>
        <v>320.8312264039863</v>
      </c>
      <c r="I11" s="69"/>
      <c r="J11" s="69"/>
      <c r="K11" s="69"/>
      <c r="L11" s="69"/>
      <c r="M11" s="69"/>
      <c r="N11" s="70"/>
      <c r="O11" s="70"/>
      <c r="P11" s="70"/>
      <c r="Q11" s="70"/>
      <c r="R11" s="70"/>
      <c r="S11" s="70"/>
    </row>
    <row r="12" spans="1:19" s="71" customFormat="1" ht="69.75" customHeight="1" thickBot="1">
      <c r="A12" s="49" t="s">
        <v>5</v>
      </c>
      <c r="B12" s="50" t="s">
        <v>6</v>
      </c>
      <c r="C12" s="72">
        <f>C10-C11</f>
        <v>96.07884328652887</v>
      </c>
      <c r="D12" s="73">
        <f>D10-D11</f>
        <v>-21.912814544300062</v>
      </c>
      <c r="E12" s="72">
        <f>E10-E11</f>
        <v>3.0869220816736824</v>
      </c>
      <c r="F12" s="72">
        <f>F10-F11</f>
        <v>3.3818693490749787</v>
      </c>
      <c r="G12" s="72">
        <f>G10-G11</f>
        <v>2.663020167840143</v>
      </c>
      <c r="H12" s="53">
        <f>C12+D12+E12+F12+G12</f>
        <v>83.2978403408176</v>
      </c>
      <c r="I12" s="69"/>
      <c r="J12" s="69"/>
      <c r="K12" s="69"/>
      <c r="L12" s="69"/>
      <c r="M12" s="69"/>
      <c r="N12" s="70"/>
      <c r="O12" s="70"/>
      <c r="P12" s="70"/>
      <c r="Q12" s="70"/>
      <c r="R12" s="70"/>
      <c r="S12" s="70"/>
    </row>
    <row r="13" spans="2:19" s="71" customFormat="1" ht="36.75" customHeight="1">
      <c r="B13" s="74"/>
      <c r="C13" s="75"/>
      <c r="D13" s="75"/>
      <c r="E13" s="75"/>
      <c r="F13" s="75"/>
      <c r="G13" s="75"/>
      <c r="H13" s="91"/>
      <c r="I13" s="69"/>
      <c r="J13" s="69"/>
      <c r="K13" s="69"/>
      <c r="L13" s="69"/>
      <c r="M13" s="69"/>
      <c r="N13" s="70"/>
      <c r="O13" s="70"/>
      <c r="P13" s="70"/>
      <c r="Q13" s="70"/>
      <c r="R13" s="70"/>
      <c r="S13" s="70"/>
    </row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Header>&amp;LAnnexe 18 - H 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1133">
    <pageSetUpPr fitToPage="1"/>
  </sheetPr>
  <dimension ref="A1:S13"/>
  <sheetViews>
    <sheetView zoomScale="75" zoomScaleNormal="75" workbookViewId="0" topLeftCell="A7">
      <selection activeCell="D9" sqref="D9"/>
    </sheetView>
  </sheetViews>
  <sheetFormatPr defaultColWidth="11.421875" defaultRowHeight="12.75"/>
  <cols>
    <col min="1" max="1" width="16.00390625" style="20" customWidth="1"/>
    <col min="2" max="2" width="39.8515625" style="20" customWidth="1"/>
    <col min="3" max="3" width="24.7109375" style="20" customWidth="1"/>
    <col min="4" max="4" width="20.140625" style="20" customWidth="1"/>
    <col min="5" max="5" width="21.421875" style="20" customWidth="1"/>
    <col min="6" max="6" width="23.140625" style="20" customWidth="1"/>
    <col min="7" max="7" width="21.8515625" style="20" customWidth="1"/>
    <col min="8" max="8" width="22.57421875" style="20" customWidth="1"/>
    <col min="9" max="16384" width="9.8515625" style="20" customWidth="1"/>
  </cols>
  <sheetData>
    <row r="1" spans="1:8" ht="48" customHeight="1">
      <c r="A1" s="148" t="s">
        <v>15</v>
      </c>
      <c r="B1" s="149"/>
      <c r="C1" s="149"/>
      <c r="D1" s="149"/>
      <c r="E1" s="149"/>
      <c r="F1" s="149"/>
      <c r="G1" s="149"/>
      <c r="H1" s="149"/>
    </row>
    <row r="2" spans="1:7" ht="15.75" customHeight="1" thickBot="1">
      <c r="A2" s="20" t="s">
        <v>54</v>
      </c>
      <c r="B2" s="21"/>
      <c r="C2" s="21"/>
      <c r="D2" s="21"/>
      <c r="E2" s="21"/>
      <c r="F2" s="22"/>
      <c r="G2" s="21"/>
    </row>
    <row r="3" spans="1:19" ht="33.75" customHeight="1" thickBot="1">
      <c r="A3" s="20" t="s">
        <v>46</v>
      </c>
      <c r="B3" s="23"/>
      <c r="C3" s="24" t="s">
        <v>16</v>
      </c>
      <c r="D3" s="25" t="s">
        <v>13</v>
      </c>
      <c r="E3" s="26" t="s">
        <v>17</v>
      </c>
      <c r="F3" s="26" t="s">
        <v>18</v>
      </c>
      <c r="G3" s="26" t="s">
        <v>14</v>
      </c>
      <c r="H3" s="27" t="s">
        <v>19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49.5" customHeight="1">
      <c r="A4" s="29" t="s">
        <v>20</v>
      </c>
      <c r="B4" s="30" t="s">
        <v>21</v>
      </c>
      <c r="C4" s="31">
        <f>'[4]45 stock-franchMV-1,5SMIC'!C4</f>
        <v>184093.460208</v>
      </c>
      <c r="D4" s="32">
        <f>'[4]45 stock-franchMV-1,5SMIC'!D4</f>
        <v>66437.865</v>
      </c>
      <c r="E4" s="31">
        <f>'[4]45 stock-franchMV-1,5SMIC'!E4</f>
        <v>5203</v>
      </c>
      <c r="F4" s="31">
        <f>'[4]45 stock-franchMV-1,5SMIC'!F4</f>
        <v>77000</v>
      </c>
      <c r="G4" s="31">
        <f>'[4]45 stock-franchMV-1,5SMIC'!G4</f>
        <v>44000</v>
      </c>
      <c r="H4" s="33">
        <f>SUM(C4:G4)</f>
        <v>376734.325208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45" customHeight="1">
      <c r="A5" s="34" t="s">
        <v>22</v>
      </c>
      <c r="B5" s="35" t="s">
        <v>23</v>
      </c>
      <c r="C5" s="36">
        <f>'[4]45 stock-franchMV-1,5SMIC'!C5</f>
        <v>176015.650104</v>
      </c>
      <c r="D5" s="37">
        <f>'[4]45 stock-franchMV-1,5SMIC'!D5</f>
        <v>66076.4325</v>
      </c>
      <c r="E5" s="36">
        <f>'[4]45 stock-franchMV-1,5SMIC'!E5</f>
        <v>5203</v>
      </c>
      <c r="F5" s="36"/>
      <c r="G5" s="36"/>
      <c r="H5" s="38">
        <f>SUM(C5:E5)</f>
        <v>247295.082604</v>
      </c>
      <c r="I5" s="39"/>
      <c r="J5" s="39"/>
      <c r="K5" s="39"/>
      <c r="L5" s="39"/>
      <c r="M5" s="39"/>
      <c r="N5" s="28"/>
      <c r="O5" s="28"/>
      <c r="P5" s="28"/>
      <c r="Q5" s="28"/>
      <c r="R5" s="28"/>
      <c r="S5" s="28"/>
    </row>
    <row r="6" spans="1:19" ht="48.75" customHeight="1" thickBot="1">
      <c r="A6" s="40" t="s">
        <v>24</v>
      </c>
      <c r="B6" s="41" t="s">
        <v>25</v>
      </c>
      <c r="C6" s="42"/>
      <c r="D6" s="43"/>
      <c r="E6" s="42"/>
      <c r="F6" s="42">
        <v>7350</v>
      </c>
      <c r="G6" s="42">
        <v>4200</v>
      </c>
      <c r="H6" s="44">
        <f>SUM(F6:G6)</f>
        <v>11550</v>
      </c>
      <c r="I6" s="39"/>
      <c r="J6" s="39"/>
      <c r="K6" s="39"/>
      <c r="L6" s="39"/>
      <c r="M6" s="39"/>
      <c r="N6" s="28"/>
      <c r="O6" s="28"/>
      <c r="P6" s="28"/>
      <c r="Q6" s="28"/>
      <c r="R6" s="28"/>
      <c r="S6" s="28"/>
    </row>
    <row r="7" spans="1:19" ht="65.25" customHeight="1">
      <c r="A7" s="45" t="s">
        <v>26</v>
      </c>
      <c r="B7" s="30" t="s">
        <v>27</v>
      </c>
      <c r="C7" s="46">
        <f>C8*1000000/C5/12</f>
        <v>155.34299181693098</v>
      </c>
      <c r="D7" s="47">
        <f>D8*1000000/D5/12</f>
        <v>176.46526872058345</v>
      </c>
      <c r="E7" s="46">
        <f>E8*1000000/E5/12</f>
        <v>74.26335966216264</v>
      </c>
      <c r="F7" s="46">
        <f>F8*1000000/F6/6</f>
        <v>244.90448711373338</v>
      </c>
      <c r="G7" s="46">
        <f>G8*1000000/G6/6</f>
        <v>191.8710333158667</v>
      </c>
      <c r="H7" s="48"/>
      <c r="I7" s="39"/>
      <c r="J7" s="39"/>
      <c r="K7" s="39"/>
      <c r="L7" s="39"/>
      <c r="M7" s="39"/>
      <c r="N7" s="28"/>
      <c r="O7" s="28"/>
      <c r="P7" s="28"/>
      <c r="Q7" s="28"/>
      <c r="R7" s="28"/>
      <c r="S7" s="28"/>
    </row>
    <row r="8" spans="1:19" ht="54" customHeight="1" thickBot="1">
      <c r="A8" s="49" t="s">
        <v>0</v>
      </c>
      <c r="B8" s="50" t="s">
        <v>1</v>
      </c>
      <c r="C8" s="51">
        <f>'[4]45 stock-franchMV-1,5SMIC'!C7</f>
        <v>328.11357232508954</v>
      </c>
      <c r="D8" s="52">
        <f>'[4]45 stock-franchMV-1,5SMIC'!D7</f>
        <v>139.92234500651992</v>
      </c>
      <c r="E8" s="51">
        <f>'[4]45 stock-franchMV-1,5SMIC'!E7</f>
        <v>4.6367071238667865</v>
      </c>
      <c r="F8" s="51">
        <f>'[4]Entrées Gér hosp-135 (2)'!J9/1000000</f>
        <v>10.800287881715642</v>
      </c>
      <c r="G8" s="51">
        <f>'[4]entrées Grce priv-135 (2)'!J9/1000000</f>
        <v>4.83515003955984</v>
      </c>
      <c r="H8" s="53">
        <f>C8+D8+E8+F8+G8</f>
        <v>488.3080623767517</v>
      </c>
      <c r="I8" s="39"/>
      <c r="J8" s="39"/>
      <c r="K8" s="39"/>
      <c r="L8" s="39"/>
      <c r="M8" s="39"/>
      <c r="N8" s="28"/>
      <c r="O8" s="28"/>
      <c r="P8" s="28"/>
      <c r="Q8" s="28"/>
      <c r="R8" s="28"/>
      <c r="S8" s="28"/>
    </row>
    <row r="9" spans="1:19" ht="63.75" customHeight="1" thickBot="1">
      <c r="A9" s="54" t="s">
        <v>2</v>
      </c>
      <c r="B9" s="55" t="s">
        <v>66</v>
      </c>
      <c r="C9" s="56">
        <f>'[4]prélfranchise MV seuil 1,5 SMIC'!B31/1000000+'[4]prél TE-TPSA au dessus 1,5SMIC'!T11/1000000</f>
        <v>42.57826487786853</v>
      </c>
      <c r="D9" s="57">
        <f>'[4]prélfranchise MV seuil 1,5 SMIC'!E31/1000000+'[4]prél TE-TPSA au dessus 1,5SMIC'!T9/1000000</f>
        <v>4.226455506840619</v>
      </c>
      <c r="E9" s="5">
        <f>'[4]45 stock-franchMV-1,5SMIC'!E8</f>
        <v>1.2033817600540861</v>
      </c>
      <c r="F9" s="58">
        <f>('[4]45 stock-franchMV-1,5SMIC'!F8)*0.1</f>
        <v>1.474639966094133</v>
      </c>
      <c r="G9" s="58">
        <f>('[4]45 stock-franchMV-1,5SMIC'!G8)*0.1</f>
        <v>1.6588728200130214</v>
      </c>
      <c r="H9" s="59">
        <f>C9+D9+E9+F9+G9</f>
        <v>51.14161493087038</v>
      </c>
      <c r="I9" s="39"/>
      <c r="J9" s="39"/>
      <c r="K9" s="39"/>
      <c r="L9" s="39"/>
      <c r="M9" s="39"/>
      <c r="N9" s="28"/>
      <c r="O9" s="28"/>
      <c r="P9" s="28"/>
      <c r="Q9" s="28"/>
      <c r="R9" s="28"/>
      <c r="S9" s="28"/>
    </row>
    <row r="10" spans="1:19" ht="60" customHeight="1" thickBot="1">
      <c r="A10" s="54" t="s">
        <v>3</v>
      </c>
      <c r="B10" s="60" t="s">
        <v>4</v>
      </c>
      <c r="C10" s="61">
        <f>C8-C9</f>
        <v>285.535307447221</v>
      </c>
      <c r="D10" s="6">
        <f>D8-D9</f>
        <v>135.6958894996793</v>
      </c>
      <c r="E10" s="61">
        <f>E8-E9</f>
        <v>3.4333253638127004</v>
      </c>
      <c r="F10" s="61">
        <f>F8-F9</f>
        <v>9.32564791562151</v>
      </c>
      <c r="G10" s="61">
        <f>G8-G9</f>
        <v>3.1762772195468187</v>
      </c>
      <c r="H10" s="62">
        <f>C10+D10+E10+F10+G10</f>
        <v>437.1664474458813</v>
      </c>
      <c r="I10" s="39"/>
      <c r="J10" s="39"/>
      <c r="K10" s="39"/>
      <c r="L10" s="39"/>
      <c r="M10" s="39"/>
      <c r="N10" s="28"/>
      <c r="O10" s="28"/>
      <c r="P10" s="28"/>
      <c r="Q10" s="28"/>
      <c r="R10" s="28"/>
      <c r="S10" s="28"/>
    </row>
    <row r="11" spans="1:19" s="71" customFormat="1" ht="67.5" customHeight="1">
      <c r="A11" s="63" t="s">
        <v>28</v>
      </c>
      <c r="B11" s="64" t="s">
        <v>29</v>
      </c>
      <c r="C11" s="65">
        <f>'[4]45 stock-franchMV-1,5SMIC'!C10</f>
        <v>167.06162164835968</v>
      </c>
      <c r="D11" s="66">
        <f>'[4]45 stock-franchMV-1,5SMIC'!D10</f>
        <v>148.56689563526012</v>
      </c>
      <c r="E11" s="67">
        <v>0</v>
      </c>
      <c r="F11" s="67">
        <f>'[4]45 stock-franchMV-1,5SMIC'!F10*0.1</f>
        <v>5.2027091203665385</v>
      </c>
      <c r="G11" s="67">
        <v>0</v>
      </c>
      <c r="H11" s="68">
        <f>C11+D11+E11+F11+G11</f>
        <v>320.8312264039863</v>
      </c>
      <c r="I11" s="69"/>
      <c r="J11" s="69"/>
      <c r="K11" s="69"/>
      <c r="L11" s="69"/>
      <c r="M11" s="69"/>
      <c r="N11" s="70"/>
      <c r="O11" s="70"/>
      <c r="P11" s="70"/>
      <c r="Q11" s="70"/>
      <c r="R11" s="70"/>
      <c r="S11" s="70"/>
    </row>
    <row r="12" spans="1:19" s="71" customFormat="1" ht="69.75" customHeight="1" thickBot="1">
      <c r="A12" s="49" t="s">
        <v>5</v>
      </c>
      <c r="B12" s="50" t="s">
        <v>6</v>
      </c>
      <c r="C12" s="72">
        <f>C10-C11</f>
        <v>118.47368579886131</v>
      </c>
      <c r="D12" s="73">
        <f>D10-D11</f>
        <v>-12.871006135580814</v>
      </c>
      <c r="E12" s="72">
        <f>E10-E11</f>
        <v>3.4333253638127004</v>
      </c>
      <c r="F12" s="72">
        <f>F10-F11</f>
        <v>4.122938795254971</v>
      </c>
      <c r="G12" s="72">
        <f>G10-G11</f>
        <v>3.1762772195468187</v>
      </c>
      <c r="H12" s="53">
        <f>C12+D12+E12+F12+G12</f>
        <v>116.33522104189498</v>
      </c>
      <c r="I12" s="69"/>
      <c r="J12" s="69"/>
      <c r="K12" s="69"/>
      <c r="L12" s="69"/>
      <c r="M12" s="69"/>
      <c r="N12" s="70"/>
      <c r="O12" s="70"/>
      <c r="P12" s="70"/>
      <c r="Q12" s="70"/>
      <c r="R12" s="70"/>
      <c r="S12" s="70"/>
    </row>
    <row r="13" spans="2:19" s="71" customFormat="1" ht="36.75" customHeight="1">
      <c r="B13" s="74"/>
      <c r="C13" s="75"/>
      <c r="D13" s="75"/>
      <c r="E13" s="75"/>
      <c r="F13" s="75"/>
      <c r="G13" s="75"/>
      <c r="H13" s="91"/>
      <c r="I13" s="69"/>
      <c r="J13" s="69"/>
      <c r="K13" s="69"/>
      <c r="L13" s="69"/>
      <c r="M13" s="69"/>
      <c r="N13" s="70"/>
      <c r="O13" s="70"/>
      <c r="P13" s="70"/>
      <c r="Q13" s="70"/>
      <c r="R13" s="70"/>
      <c r="S13" s="70"/>
    </row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Header>&amp;LAnnexe 18 - H 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11331">
    <pageSetUpPr fitToPage="1"/>
  </sheetPr>
  <dimension ref="A1:S13"/>
  <sheetViews>
    <sheetView tabSelected="1" zoomScale="75" zoomScaleNormal="75" workbookViewId="0" topLeftCell="B6">
      <selection activeCell="D9" sqref="D9"/>
    </sheetView>
  </sheetViews>
  <sheetFormatPr defaultColWidth="11.421875" defaultRowHeight="12.75"/>
  <cols>
    <col min="1" max="1" width="16.00390625" style="20" customWidth="1"/>
    <col min="2" max="2" width="39.8515625" style="20" customWidth="1"/>
    <col min="3" max="3" width="24.7109375" style="20" customWidth="1"/>
    <col min="4" max="4" width="20.140625" style="20" customWidth="1"/>
    <col min="5" max="5" width="21.421875" style="20" customWidth="1"/>
    <col min="6" max="6" width="23.140625" style="20" customWidth="1"/>
    <col min="7" max="7" width="21.8515625" style="20" customWidth="1"/>
    <col min="8" max="8" width="22.57421875" style="20" customWidth="1"/>
    <col min="9" max="16384" width="8.421875" style="20" customWidth="1"/>
  </cols>
  <sheetData>
    <row r="1" spans="1:8" ht="48" customHeight="1">
      <c r="A1" s="148" t="s">
        <v>15</v>
      </c>
      <c r="B1" s="149"/>
      <c r="C1" s="149"/>
      <c r="D1" s="149"/>
      <c r="E1" s="149"/>
      <c r="F1" s="149"/>
      <c r="G1" s="149"/>
      <c r="H1" s="149"/>
    </row>
    <row r="2" spans="1:7" ht="15.75" customHeight="1" thickBot="1">
      <c r="A2" s="20" t="s">
        <v>45</v>
      </c>
      <c r="B2" s="21"/>
      <c r="C2" s="21"/>
      <c r="D2" s="21"/>
      <c r="E2" s="21"/>
      <c r="F2" s="22"/>
      <c r="G2" s="21"/>
    </row>
    <row r="3" spans="2:19" ht="33.75" customHeight="1" thickBot="1">
      <c r="B3" s="23"/>
      <c r="C3" s="24" t="s">
        <v>16</v>
      </c>
      <c r="D3" s="25" t="s">
        <v>13</v>
      </c>
      <c r="E3" s="26" t="s">
        <v>17</v>
      </c>
      <c r="F3" s="26" t="s">
        <v>18</v>
      </c>
      <c r="G3" s="26" t="s">
        <v>14</v>
      </c>
      <c r="H3" s="27" t="s">
        <v>19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49.5" customHeight="1">
      <c r="A4" s="29" t="s">
        <v>20</v>
      </c>
      <c r="B4" s="30" t="s">
        <v>21</v>
      </c>
      <c r="C4" s="31">
        <f>'[5]40 stock-franchMV-1,5SMIC'!C4</f>
        <v>184093.460208</v>
      </c>
      <c r="D4" s="32">
        <f>'[5]40 stock-franchMV-1,5SMIC'!D4</f>
        <v>66437.865</v>
      </c>
      <c r="E4" s="31">
        <f>'[5]40 stock-franchMV-1,5SMIC'!E4</f>
        <v>5203</v>
      </c>
      <c r="F4" s="31">
        <f>'[5]40 stock-franchMV-1,5SMIC'!F4</f>
        <v>77000</v>
      </c>
      <c r="G4" s="31">
        <f>'[5]40 stock-franchMV-1,5SMIC'!G4</f>
        <v>44000</v>
      </c>
      <c r="H4" s="33">
        <f>SUM(C4:G4)</f>
        <v>376734.325208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45" customHeight="1">
      <c r="A5" s="34" t="s">
        <v>22</v>
      </c>
      <c r="B5" s="35" t="s">
        <v>23</v>
      </c>
      <c r="C5" s="36">
        <f>'[5]40 stock-franchMV-1,5SMIC'!C5</f>
        <v>176015.650104</v>
      </c>
      <c r="D5" s="37">
        <f>'[5]40 stock-franchMV-1,5SMIC'!D5</f>
        <v>66076.4325</v>
      </c>
      <c r="E5" s="36">
        <f>'[5]40 stock-franchMV-1,5SMIC'!E5</f>
        <v>5203</v>
      </c>
      <c r="F5" s="36"/>
      <c r="G5" s="36"/>
      <c r="H5" s="38">
        <f>SUM(C5:E5)</f>
        <v>247295.082604</v>
      </c>
      <c r="I5" s="39"/>
      <c r="J5" s="39"/>
      <c r="K5" s="39"/>
      <c r="L5" s="39"/>
      <c r="M5" s="39"/>
      <c r="N5" s="28"/>
      <c r="O5" s="28"/>
      <c r="P5" s="28"/>
      <c r="Q5" s="28"/>
      <c r="R5" s="28"/>
      <c r="S5" s="28"/>
    </row>
    <row r="6" spans="1:19" ht="48.75" customHeight="1" thickBot="1">
      <c r="A6" s="40" t="s">
        <v>24</v>
      </c>
      <c r="B6" s="41" t="s">
        <v>25</v>
      </c>
      <c r="C6" s="42"/>
      <c r="D6" s="43"/>
      <c r="E6" s="42"/>
      <c r="F6" s="42">
        <v>7350</v>
      </c>
      <c r="G6" s="42">
        <v>4200</v>
      </c>
      <c r="H6" s="44">
        <f>SUM(F6:G6)</f>
        <v>11550</v>
      </c>
      <c r="I6" s="39"/>
      <c r="J6" s="39"/>
      <c r="K6" s="39"/>
      <c r="L6" s="39"/>
      <c r="M6" s="39"/>
      <c r="N6" s="28"/>
      <c r="O6" s="28"/>
      <c r="P6" s="28"/>
      <c r="Q6" s="28"/>
      <c r="R6" s="28"/>
      <c r="S6" s="28"/>
    </row>
    <row r="7" spans="1:19" ht="65.25" customHeight="1">
      <c r="A7" s="45" t="s">
        <v>26</v>
      </c>
      <c r="B7" s="30" t="s">
        <v>27</v>
      </c>
      <c r="C7" s="46">
        <f>C8*1000000/C5/12</f>
        <v>164.0701261886687</v>
      </c>
      <c r="D7" s="47">
        <f>D8*1000000/D5/12</f>
        <v>186.37904786218937</v>
      </c>
      <c r="E7" s="46">
        <f>E8*1000000/E5/12</f>
        <v>78.43545851958753</v>
      </c>
      <c r="F7" s="46">
        <f>F8*1000000/F6/6</f>
        <v>258.6631661650667</v>
      </c>
      <c r="G7" s="46">
        <f>G8*1000000/G6/6</f>
        <v>214.63539320079997</v>
      </c>
      <c r="H7" s="48"/>
      <c r="I7" s="39"/>
      <c r="J7" s="39"/>
      <c r="K7" s="39"/>
      <c r="L7" s="39"/>
      <c r="M7" s="39"/>
      <c r="N7" s="28"/>
      <c r="O7" s="28"/>
      <c r="P7" s="28"/>
      <c r="Q7" s="28"/>
      <c r="R7" s="28"/>
      <c r="S7" s="28"/>
    </row>
    <row r="8" spans="1:19" ht="54" customHeight="1" thickBot="1">
      <c r="A8" s="49" t="s">
        <v>0</v>
      </c>
      <c r="B8" s="50" t="s">
        <v>1</v>
      </c>
      <c r="C8" s="51">
        <f>'[5]40 stock-franchMV-1,5SMIC'!C7</f>
        <v>346.54691908492606</v>
      </c>
      <c r="D8" s="52">
        <f>'[5]40 stock-franchMV-1,5SMIC'!D7</f>
        <v>147.78315090576268</v>
      </c>
      <c r="E8" s="51">
        <f>'[5]40 stock-franchMV-1,5SMIC'!E7</f>
        <v>4.897196288128966</v>
      </c>
      <c r="F8" s="51">
        <f>'[5]Entrées Gér hosp-135 (2)'!J9/1000000</f>
        <v>11.407045627879441</v>
      </c>
      <c r="G8" s="51">
        <f>'[5]entrées Grce priv-135 (2)'!J9/1000000</f>
        <v>5.40881190866016</v>
      </c>
      <c r="H8" s="53">
        <f>C8+D8+E8+F8+G8</f>
        <v>516.0431238153573</v>
      </c>
      <c r="I8" s="39"/>
      <c r="J8" s="39"/>
      <c r="K8" s="39"/>
      <c r="L8" s="39"/>
      <c r="M8" s="39"/>
      <c r="N8" s="28"/>
      <c r="O8" s="28"/>
      <c r="P8" s="28"/>
      <c r="Q8" s="28"/>
      <c r="R8" s="28"/>
      <c r="S8" s="28"/>
    </row>
    <row r="9" spans="1:19" ht="63.75" customHeight="1" thickBot="1">
      <c r="A9" s="54" t="s">
        <v>2</v>
      </c>
      <c r="B9" s="55" t="s">
        <v>68</v>
      </c>
      <c r="C9" s="56">
        <f>'[5]prélfranchise MV seuil 1,5 SMIC'!B31/1000000+'[5]prél TE-TPSA au dessus 1,5SMIC'!T11/1000000</f>
        <v>45.58881180069899</v>
      </c>
      <c r="D9" s="57">
        <f>'[5]prélfranchise MV seuil 1,5 SMIC'!E31/1000000+'[5]prél TE-TPSA au dessus 1,5SMIC'!T9/1000000</f>
        <v>4.531380958300511</v>
      </c>
      <c r="E9" s="5">
        <f>'[5]40 stock-franchMV-1,5SMIC'!E8</f>
        <v>1.288468300454755</v>
      </c>
      <c r="F9" s="58">
        <f>('[5]40 stock-franchMV-1,5SMIC'!F8)*0.1</f>
        <v>1.5788330714537584</v>
      </c>
      <c r="G9" s="58">
        <f>('[5]40 stock-franchMV-1,5SMIC'!G8)*0.1</f>
        <v>1.7683966051747388</v>
      </c>
      <c r="H9" s="59">
        <f>C9+D9+E9+F9+G9</f>
        <v>54.75589073608275</v>
      </c>
      <c r="I9" s="39"/>
      <c r="J9" s="39"/>
      <c r="K9" s="39"/>
      <c r="L9" s="39"/>
      <c r="M9" s="39"/>
      <c r="N9" s="28"/>
      <c r="O9" s="28"/>
      <c r="P9" s="28"/>
      <c r="Q9" s="28"/>
      <c r="R9" s="28"/>
      <c r="S9" s="28"/>
    </row>
    <row r="10" spans="1:19" ht="60" customHeight="1" thickBot="1">
      <c r="A10" s="54" t="s">
        <v>3</v>
      </c>
      <c r="B10" s="60" t="s">
        <v>4</v>
      </c>
      <c r="C10" s="61">
        <f>C8-C9</f>
        <v>300.9581072842271</v>
      </c>
      <c r="D10" s="6">
        <f>D8-D9</f>
        <v>143.25176994746218</v>
      </c>
      <c r="E10" s="61">
        <f>E8-E9</f>
        <v>3.608727987674211</v>
      </c>
      <c r="F10" s="61">
        <f>F8-F9</f>
        <v>9.828212556425683</v>
      </c>
      <c r="G10" s="61">
        <f>G8-G9</f>
        <v>3.6404153034854208</v>
      </c>
      <c r="H10" s="62">
        <f>C10+D10+E10+F10+G10</f>
        <v>461.2872330792746</v>
      </c>
      <c r="I10" s="39"/>
      <c r="J10" s="39"/>
      <c r="K10" s="39"/>
      <c r="L10" s="39"/>
      <c r="M10" s="39"/>
      <c r="N10" s="28"/>
      <c r="O10" s="28"/>
      <c r="P10" s="28"/>
      <c r="Q10" s="28"/>
      <c r="R10" s="28"/>
      <c r="S10" s="28"/>
    </row>
    <row r="11" spans="1:19" s="71" customFormat="1" ht="67.5" customHeight="1">
      <c r="A11" s="63" t="s">
        <v>28</v>
      </c>
      <c r="B11" s="64" t="s">
        <v>29</v>
      </c>
      <c r="C11" s="65">
        <f>'[5]40 stock-franchMV-1,5SMIC'!C10</f>
        <v>167.06162164835968</v>
      </c>
      <c r="D11" s="66">
        <f>'[5]40 stock-franchMV-1,5SMIC'!D10</f>
        <v>148.56689563526012</v>
      </c>
      <c r="E11" s="67">
        <v>0</v>
      </c>
      <c r="F11" s="67">
        <f>'[5]40 stock-franchMV-1,5SMIC'!F10*0.1</f>
        <v>5.2027091203665385</v>
      </c>
      <c r="G11" s="67">
        <v>0</v>
      </c>
      <c r="H11" s="68">
        <f>C11+D11+E11+F11+G11</f>
        <v>320.8312264039863</v>
      </c>
      <c r="I11" s="69"/>
      <c r="J11" s="69"/>
      <c r="K11" s="69"/>
      <c r="L11" s="69"/>
      <c r="M11" s="69"/>
      <c r="N11" s="70"/>
      <c r="O11" s="70"/>
      <c r="P11" s="70"/>
      <c r="Q11" s="70"/>
      <c r="R11" s="70"/>
      <c r="S11" s="70"/>
    </row>
    <row r="12" spans="1:19" s="71" customFormat="1" ht="69.75" customHeight="1" thickBot="1">
      <c r="A12" s="49" t="s">
        <v>5</v>
      </c>
      <c r="B12" s="50" t="s">
        <v>6</v>
      </c>
      <c r="C12" s="72">
        <f>C10-C11</f>
        <v>133.8964856358674</v>
      </c>
      <c r="D12" s="73">
        <f>D10-D11</f>
        <v>-5.315125687797945</v>
      </c>
      <c r="E12" s="72">
        <f>E10-E11</f>
        <v>3.608727987674211</v>
      </c>
      <c r="F12" s="72">
        <f>F10-F11</f>
        <v>4.6255034360591445</v>
      </c>
      <c r="G12" s="72">
        <f>G10-G11</f>
        <v>3.6404153034854208</v>
      </c>
      <c r="H12" s="53">
        <f>C12+D12+E12+F12+G12</f>
        <v>140.45600667528822</v>
      </c>
      <c r="I12" s="69"/>
      <c r="J12" s="69"/>
      <c r="K12" s="69"/>
      <c r="L12" s="69"/>
      <c r="M12" s="69"/>
      <c r="N12" s="70"/>
      <c r="O12" s="70"/>
      <c r="P12" s="70"/>
      <c r="Q12" s="70"/>
      <c r="R12" s="70"/>
      <c r="S12" s="70"/>
    </row>
    <row r="13" spans="2:19" s="71" customFormat="1" ht="36.75" customHeight="1">
      <c r="B13" s="74"/>
      <c r="C13" s="75"/>
      <c r="D13" s="75"/>
      <c r="E13" s="75"/>
      <c r="F13" s="75"/>
      <c r="G13" s="75"/>
      <c r="H13" s="91"/>
      <c r="I13" s="69"/>
      <c r="J13" s="69"/>
      <c r="K13" s="69"/>
      <c r="L13" s="69"/>
      <c r="M13" s="69"/>
      <c r="N13" s="70"/>
      <c r="O13" s="70"/>
      <c r="P13" s="70"/>
      <c r="Q13" s="70"/>
      <c r="R13" s="70"/>
      <c r="S13" s="70"/>
    </row>
  </sheetData>
  <mergeCells count="1">
    <mergeCell ref="A1:H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Header>&amp;LAnnexe 18 - H 5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75" zoomScaleNormal="75" workbookViewId="0" topLeftCell="A5">
      <selection activeCell="H9" sqref="H9"/>
    </sheetView>
  </sheetViews>
  <sheetFormatPr defaultColWidth="11.421875" defaultRowHeight="12.75"/>
  <cols>
    <col min="1" max="1" width="11.421875" style="76" customWidth="1"/>
    <col min="2" max="2" width="34.57421875" style="76" customWidth="1"/>
    <col min="3" max="3" width="23.8515625" style="76" customWidth="1"/>
    <col min="4" max="5" width="24.140625" style="76" customWidth="1"/>
    <col min="6" max="6" width="24.57421875" style="76" customWidth="1"/>
    <col min="7" max="7" width="22.00390625" style="78" customWidth="1"/>
    <col min="8" max="16384" width="9.8515625" style="76" customWidth="1"/>
  </cols>
  <sheetData>
    <row r="1" spans="3:7" ht="43.5" customHeight="1" thickBot="1">
      <c r="C1" s="80" t="s">
        <v>36</v>
      </c>
      <c r="D1" s="19" t="s">
        <v>38</v>
      </c>
      <c r="E1" s="18" t="s">
        <v>32</v>
      </c>
      <c r="F1" s="80" t="s">
        <v>39</v>
      </c>
      <c r="G1" s="80" t="s">
        <v>31</v>
      </c>
    </row>
    <row r="2" spans="1:7" ht="29.25" customHeight="1" thickBot="1">
      <c r="A2" s="144" t="s">
        <v>46</v>
      </c>
      <c r="B2" s="145"/>
      <c r="C2" s="15" t="s">
        <v>9</v>
      </c>
      <c r="D2" s="82" t="s">
        <v>10</v>
      </c>
      <c r="E2" s="15" t="s">
        <v>11</v>
      </c>
      <c r="F2" s="15" t="s">
        <v>12</v>
      </c>
      <c r="G2" s="15" t="s">
        <v>37</v>
      </c>
    </row>
    <row r="3" spans="1:7" ht="65.25" customHeight="1" thickBot="1">
      <c r="A3" s="150" t="s">
        <v>49</v>
      </c>
      <c r="B3" s="151"/>
      <c r="C3" s="4" t="s">
        <v>40</v>
      </c>
      <c r="D3" s="83" t="s">
        <v>41</v>
      </c>
      <c r="E3" s="4" t="s">
        <v>43</v>
      </c>
      <c r="F3" s="26" t="s">
        <v>42</v>
      </c>
      <c r="G3" s="26" t="s">
        <v>33</v>
      </c>
    </row>
    <row r="4" spans="1:7" ht="56.25" customHeight="1" thickBot="1">
      <c r="A4" s="7" t="s">
        <v>0</v>
      </c>
      <c r="B4" s="8" t="s">
        <v>1</v>
      </c>
      <c r="C4" s="5">
        <f>'Annexe 14 - H 1'!H7</f>
        <v>519.7712133913586</v>
      </c>
      <c r="D4" s="84">
        <f>'Annexe 14 - H 2'!H7</f>
        <v>559.5268218764396</v>
      </c>
      <c r="E4" s="5">
        <f>'Annexe 14 - H 3'!H7</f>
        <v>596.8524044744706</v>
      </c>
      <c r="F4" s="5">
        <f>'Annexe 14 - H 4'!H7</f>
        <v>638.3447227898891</v>
      </c>
      <c r="G4" s="81">
        <f>'Annexe 14 - H 5'!H7</f>
        <v>677.4070152182578</v>
      </c>
    </row>
    <row r="5" spans="1:7" ht="51" customHeight="1" thickBot="1">
      <c r="A5" s="9" t="s">
        <v>2</v>
      </c>
      <c r="B5" s="10" t="s">
        <v>8</v>
      </c>
      <c r="C5" s="5">
        <f>'Annexe 14 - H 1'!H8</f>
        <v>69.70003364631187</v>
      </c>
      <c r="D5" s="84">
        <f>'Annexe 14 - H 2'!H8</f>
        <v>76.64455332837524</v>
      </c>
      <c r="E5" s="5">
        <f>'Annexe 14 - H 3'!H8</f>
        <v>82.86800623926928</v>
      </c>
      <c r="F5" s="5">
        <f>'Annexe 14 - H 4'!H8</f>
        <v>79.34323000583477</v>
      </c>
      <c r="G5" s="81">
        <f>'Annexe 14 - H 5'!H8</f>
        <v>84.88095782573923</v>
      </c>
    </row>
    <row r="6" spans="1:7" ht="56.25" customHeight="1" thickBot="1">
      <c r="A6" s="9" t="s">
        <v>3</v>
      </c>
      <c r="B6" s="11" t="s">
        <v>4</v>
      </c>
      <c r="C6" s="5">
        <f>'Annexe 14 - H 1'!H9</f>
        <v>450.0711797450468</v>
      </c>
      <c r="D6" s="84">
        <f>'Annexe 14 - H 2'!H9</f>
        <v>482.88226854806436</v>
      </c>
      <c r="E6" s="5">
        <f>'Annexe 14 - H 3'!H9</f>
        <v>513.9843982352013</v>
      </c>
      <c r="F6" s="5">
        <f>'Annexe 14 - H 4'!H9</f>
        <v>559.0014927840543</v>
      </c>
      <c r="G6" s="81">
        <f>'Annexe 14 - H 5'!H9</f>
        <v>592.5260573925186</v>
      </c>
    </row>
    <row r="7" spans="1:7" ht="68.25" customHeight="1" thickBot="1">
      <c r="A7" s="107" t="s">
        <v>28</v>
      </c>
      <c r="B7" s="64" t="s">
        <v>29</v>
      </c>
      <c r="C7" s="139">
        <f>'Annexe 14 - H 1'!$H$10</f>
        <v>367.6556084872851</v>
      </c>
      <c r="D7" s="139">
        <f>'Annexe 14 - H 1'!$H$10</f>
        <v>367.6556084872851</v>
      </c>
      <c r="E7" s="139">
        <f>'Annexe 14 - H 1'!$H$10</f>
        <v>367.6556084872851</v>
      </c>
      <c r="F7" s="139">
        <f>'Annexe 14 - H 1'!$H$10</f>
        <v>367.6556084872851</v>
      </c>
      <c r="G7" s="139">
        <f>'Annexe 14 - H 1'!$H$10</f>
        <v>367.6556084872851</v>
      </c>
    </row>
    <row r="8" spans="1:7" ht="57.75" customHeight="1" thickBot="1">
      <c r="A8" s="12" t="s">
        <v>5</v>
      </c>
      <c r="B8" s="13" t="s">
        <v>6</v>
      </c>
      <c r="C8" s="5">
        <f>'Annexe 14 - H 1'!H11</f>
        <v>82.41557125776156</v>
      </c>
      <c r="D8" s="84">
        <f>'Annexe 14 - H 2'!H11</f>
        <v>115.22666006077924</v>
      </c>
      <c r="E8" s="5">
        <f>'Annexe 14 - H 3'!H11</f>
        <v>146.32878974791618</v>
      </c>
      <c r="F8" s="5">
        <f>'Annexe 14 - H 4'!H11</f>
        <v>191.34588429676919</v>
      </c>
      <c r="G8" s="81">
        <f>'Annexe 14 - H 5'!H11</f>
        <v>224.87044890523345</v>
      </c>
    </row>
    <row r="9" spans="1:7" ht="52.5" customHeight="1" thickBot="1">
      <c r="A9" s="79"/>
      <c r="B9" s="16" t="s">
        <v>7</v>
      </c>
      <c r="C9" s="3">
        <f>'Annexe 14 - H 1'!C11+'Annexe 14 - H 1'!E11+'Annexe 14 - H 1'!F11+'Annexe 14 - H 1'!G11</f>
        <v>120.08650336391463</v>
      </c>
      <c r="D9" s="85">
        <f>'Annexe 14 - H 2'!C11+'Annexe 14 - H 2'!E11+'Annexe 14 - H 2'!F11+'Annexe 14 - H 2'!G11</f>
        <v>144.64333762779432</v>
      </c>
      <c r="E9" s="17">
        <f>'Annexe 14 - H 3'!C11+'Annexe 14 - H 3'!E11+'Annexe 14 - H 3'!F11+'Annexe 14 - H 3'!G11</f>
        <v>168.24160429221624</v>
      </c>
      <c r="F9" s="17">
        <f>'Annexe 14 - H 4'!C11+'Annexe 14 - H 4'!E11+'Annexe 14 - H 4'!F11+'Annexe 14 - H 4'!G11</f>
        <v>204.21689043235003</v>
      </c>
      <c r="G9" s="77">
        <f>'Annexe 14 - H 5'!C11+'Annexe 14 - H 5'!E11+'Annexe 14 - H 5'!F11+'Annexe 14 - H 5'!G11</f>
        <v>230.1855745930314</v>
      </c>
    </row>
    <row r="10" spans="1:7" ht="90" customHeight="1">
      <c r="A10" s="146" t="s">
        <v>46</v>
      </c>
      <c r="B10" s="86" t="s">
        <v>50</v>
      </c>
      <c r="C10" s="121">
        <f>C8-49.5</f>
        <v>32.915571257761556</v>
      </c>
      <c r="D10" s="121">
        <f>D8-49.5</f>
        <v>65.72666006077924</v>
      </c>
      <c r="E10" s="87">
        <f>E8-49.5</f>
        <v>96.82878974791618</v>
      </c>
      <c r="F10" s="87">
        <f>F8-49.5</f>
        <v>141.84588429676919</v>
      </c>
      <c r="G10" s="87">
        <f>G8-49.5</f>
        <v>175.37044890523345</v>
      </c>
    </row>
    <row r="11" spans="1:7" ht="84" customHeight="1" thickBot="1">
      <c r="A11" s="147"/>
      <c r="B11" s="88" t="s">
        <v>51</v>
      </c>
      <c r="C11" s="120">
        <f>C9-94.8</f>
        <v>25.286503363914633</v>
      </c>
      <c r="D11" s="120">
        <f>D9-94.8</f>
        <v>49.84333762779433</v>
      </c>
      <c r="E11" s="89">
        <f>E9-94.8</f>
        <v>73.44160429221624</v>
      </c>
      <c r="F11" s="89">
        <f>F9-94.8</f>
        <v>109.41689043235003</v>
      </c>
      <c r="G11" s="89">
        <f>G9-94.8</f>
        <v>135.38557459303138</v>
      </c>
    </row>
    <row r="12" ht="15.75">
      <c r="B12" s="14"/>
    </row>
    <row r="13" spans="2:7" ht="12.75">
      <c r="B13" s="14"/>
      <c r="C13" s="90"/>
      <c r="D13" s="90"/>
      <c r="E13" s="90"/>
      <c r="F13" s="90"/>
      <c r="G13" s="90"/>
    </row>
  </sheetData>
  <mergeCells count="3">
    <mergeCell ref="A3:B3"/>
    <mergeCell ref="A2:B2"/>
    <mergeCell ref="A10:A11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80" r:id="rId2"/>
  <headerFooter alignWithMargins="0">
    <oddHeader xml:space="preserve">&amp;LAnnexe 14- Synthèse des hypothèses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1">
    <pageSetUpPr fitToPage="1"/>
  </sheetPr>
  <dimension ref="A1:T12"/>
  <sheetViews>
    <sheetView zoomScale="75" zoomScaleNormal="75" workbookViewId="0" topLeftCell="A2">
      <selection activeCell="H9" sqref="H9"/>
    </sheetView>
  </sheetViews>
  <sheetFormatPr defaultColWidth="11.421875" defaultRowHeight="12.75"/>
  <cols>
    <col min="1" max="1" width="11.8515625" style="1" customWidth="1"/>
    <col min="2" max="2" width="42.8515625" style="21" customWidth="1"/>
    <col min="3" max="3" width="15.00390625" style="21" customWidth="1"/>
    <col min="4" max="4" width="16.00390625" style="21" customWidth="1"/>
    <col min="5" max="5" width="17.57421875" style="21" customWidth="1"/>
    <col min="6" max="6" width="18.8515625" style="21" customWidth="1"/>
    <col min="7" max="7" width="16.57421875" style="21" customWidth="1"/>
    <col min="8" max="8" width="17.140625" style="21" customWidth="1"/>
    <col min="9" max="9" width="8.421875" style="21" bestFit="1" customWidth="1"/>
    <col min="10" max="16384" width="8.421875" style="21" customWidth="1"/>
  </cols>
  <sheetData>
    <row r="1" ht="18.75">
      <c r="A1" s="92" t="s">
        <v>47</v>
      </c>
    </row>
    <row r="2" ht="16.5" thickBot="1">
      <c r="A2" s="1" t="s">
        <v>52</v>
      </c>
    </row>
    <row r="3" spans="1:20" ht="50.25" customHeight="1" thickBot="1">
      <c r="A3" s="133" t="s">
        <v>60</v>
      </c>
      <c r="B3" s="2"/>
      <c r="C3" s="26" t="s">
        <v>16</v>
      </c>
      <c r="D3" s="26" t="s">
        <v>13</v>
      </c>
      <c r="E3" s="26" t="s">
        <v>17</v>
      </c>
      <c r="F3" s="26" t="s">
        <v>18</v>
      </c>
      <c r="G3" s="26" t="s">
        <v>14</v>
      </c>
      <c r="H3" s="93" t="s">
        <v>19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44.25" customHeight="1">
      <c r="A4" s="95" t="s">
        <v>20</v>
      </c>
      <c r="B4" s="96" t="s">
        <v>21</v>
      </c>
      <c r="C4" s="31">
        <f>'[1]fiche budgétaire'!B27</f>
        <v>184093.460208</v>
      </c>
      <c r="D4" s="31">
        <f>'[1]fiche budgétaire'!D27</f>
        <v>66437.865</v>
      </c>
      <c r="E4" s="31">
        <f>'[1]fiche budgétaire'!E27</f>
        <v>5203</v>
      </c>
      <c r="F4" s="31">
        <f>'[1]fiche budgétaire'!F27</f>
        <v>77000</v>
      </c>
      <c r="G4" s="31">
        <f>'[1]fiche budgétaire'!G27</f>
        <v>44000</v>
      </c>
      <c r="H4" s="31">
        <f>SUM(C4:G4)</f>
        <v>376734.325208</v>
      </c>
      <c r="I4" s="97"/>
      <c r="J4" s="97"/>
      <c r="K4" s="97"/>
      <c r="L4" s="97"/>
      <c r="M4" s="97"/>
      <c r="N4" s="97"/>
      <c r="O4" s="94"/>
      <c r="P4" s="94"/>
      <c r="Q4" s="94"/>
      <c r="R4" s="94"/>
      <c r="S4" s="94"/>
      <c r="T4" s="94"/>
    </row>
    <row r="5" spans="1:20" ht="45.75" customHeight="1" thickBot="1">
      <c r="A5" s="98" t="s">
        <v>22</v>
      </c>
      <c r="B5" s="99" t="s">
        <v>23</v>
      </c>
      <c r="C5" s="42">
        <f>'[1]fiche budgétaire'!B28</f>
        <v>176015.650104</v>
      </c>
      <c r="D5" s="42">
        <f>'[1]fiche budgétaire'!D28</f>
        <v>66076.4325</v>
      </c>
      <c r="E5" s="42">
        <f>'[1]fiche budgétaire'!E28</f>
        <v>5203</v>
      </c>
      <c r="F5" s="42">
        <f>'[1]fiche budgétaire'!F28</f>
        <v>73500</v>
      </c>
      <c r="G5" s="42">
        <f>'[1]fiche budgétaire'!G28</f>
        <v>42000</v>
      </c>
      <c r="H5" s="42">
        <f>SUM(C5:G5)</f>
        <v>362795.082604</v>
      </c>
      <c r="I5" s="97"/>
      <c r="J5" s="97"/>
      <c r="K5" s="97"/>
      <c r="L5" s="97"/>
      <c r="M5" s="97"/>
      <c r="N5" s="97"/>
      <c r="O5" s="94"/>
      <c r="P5" s="94"/>
      <c r="Q5" s="94"/>
      <c r="R5" s="94"/>
      <c r="S5" s="94"/>
      <c r="T5" s="94"/>
    </row>
    <row r="6" spans="1:20" ht="57.75" customHeight="1" thickBot="1">
      <c r="A6" s="100" t="s">
        <v>48</v>
      </c>
      <c r="B6" s="101" t="s">
        <v>27</v>
      </c>
      <c r="C6" s="102">
        <f>C7*1000000/C5/12</f>
        <v>127.41616182737039</v>
      </c>
      <c r="D6" s="102">
        <f>D7*1000000/D5/12</f>
        <v>144.74117546744486</v>
      </c>
      <c r="E6" s="102">
        <f>E7*1000000/E5/12</f>
        <v>60.91264331840306</v>
      </c>
      <c r="F6" s="102">
        <f>F7*1000000/F5/12</f>
        <v>106.42383957273056</v>
      </c>
      <c r="G6" s="102">
        <f>G7*1000000/G5/12</f>
        <v>75.80876243536974</v>
      </c>
      <c r="H6" s="103"/>
      <c r="I6" s="97"/>
      <c r="J6" s="97"/>
      <c r="K6" s="97"/>
      <c r="L6" s="97"/>
      <c r="M6" s="97"/>
      <c r="N6" s="97"/>
      <c r="O6" s="94"/>
      <c r="P6" s="94"/>
      <c r="Q6" s="94"/>
      <c r="R6" s="94"/>
      <c r="S6" s="94"/>
      <c r="T6" s="94"/>
    </row>
    <row r="7" spans="1:20" ht="51" customHeight="1" thickBot="1">
      <c r="A7" s="100" t="s">
        <v>0</v>
      </c>
      <c r="B7" s="104" t="s">
        <v>1</v>
      </c>
      <c r="C7" s="3">
        <f>'[1]TE-CEet TPSA- 146€'!S11/1000000</f>
        <v>269.1268626936128</v>
      </c>
      <c r="D7" s="3">
        <f>'[1]TE-CEet TPSA- 146€'!S9/1000000</f>
        <v>114.76776612894331</v>
      </c>
      <c r="E7" s="3">
        <f>C7*E4/C4/2</f>
        <v>3.8031417982278137</v>
      </c>
      <c r="F7" s="3">
        <f>'[1]Gér hosp-146'!R9/1000000</f>
        <v>93.86582650314834</v>
      </c>
      <c r="G7" s="3">
        <f>'[1]Grce priv-abattement'!R9/1000000</f>
        <v>38.207616267426346</v>
      </c>
      <c r="H7" s="3">
        <f>SUM(C7:G7)</f>
        <v>519.7712133913586</v>
      </c>
      <c r="I7" s="97"/>
      <c r="J7" s="97"/>
      <c r="K7" s="97"/>
      <c r="L7" s="97"/>
      <c r="M7" s="97"/>
      <c r="N7" s="97"/>
      <c r="O7" s="94"/>
      <c r="P7" s="94"/>
      <c r="Q7" s="94"/>
      <c r="R7" s="94"/>
      <c r="S7" s="94"/>
      <c r="T7" s="94"/>
    </row>
    <row r="8" spans="1:20" ht="59.25" customHeight="1" thickBot="1">
      <c r="A8" s="105" t="s">
        <v>2</v>
      </c>
      <c r="B8" s="55" t="s">
        <v>34</v>
      </c>
      <c r="C8" s="106">
        <f>('[1]franchise MV seuil 1,4 SMIC'!B31+'[1]prél TE-TPSA au dessus 1,4SMIC'!T11)/1000000</f>
        <v>37.48422894964101</v>
      </c>
      <c r="D8" s="106">
        <f>('[1]franchise MV seuil 1,4 SMIC'!E31+'[1]prél TE-TPSA au dessus 1,4SMIC'!T9)/1000000</f>
        <v>3.8718025998362444</v>
      </c>
      <c r="E8" s="106">
        <f>C8*E4/C4</f>
        <v>1.059409948645785</v>
      </c>
      <c r="F8" s="106">
        <f>('[1]Gér hosp-prél 1,4 SMIC-129'!R9+'[1]franchise MV seuil 1,4 SMIC'!F31)/1000000</f>
        <v>12.986802764128065</v>
      </c>
      <c r="G8" s="106">
        <f>('[1]Grce priv-prell 1,4 SMIC-129'!R9+'[1]franchise MV seuil 1,4 SMIC'!G31)/1000000</f>
        <v>14.297789384060763</v>
      </c>
      <c r="H8" s="106">
        <f>SUM(C8:G8)</f>
        <v>69.70003364631187</v>
      </c>
      <c r="I8" s="97"/>
      <c r="J8" s="97"/>
      <c r="K8" s="97"/>
      <c r="L8" s="97"/>
      <c r="M8" s="97"/>
      <c r="N8" s="97"/>
      <c r="O8" s="94"/>
      <c r="P8" s="94"/>
      <c r="Q8" s="94"/>
      <c r="R8" s="94"/>
      <c r="S8" s="94"/>
      <c r="T8" s="94"/>
    </row>
    <row r="9" spans="1:20" ht="53.25" customHeight="1">
      <c r="A9" s="107" t="s">
        <v>3</v>
      </c>
      <c r="B9" s="108" t="s">
        <v>4</v>
      </c>
      <c r="C9" s="109">
        <f aca="true" t="shared" si="0" ref="C9:H9">C7-C8</f>
        <v>231.64263374397177</v>
      </c>
      <c r="D9" s="109">
        <f t="shared" si="0"/>
        <v>110.89596352910706</v>
      </c>
      <c r="E9" s="109">
        <f t="shared" si="0"/>
        <v>2.7437318495820286</v>
      </c>
      <c r="F9" s="109">
        <f t="shared" si="0"/>
        <v>80.87902373902028</v>
      </c>
      <c r="G9" s="109">
        <f t="shared" si="0"/>
        <v>23.909826883365582</v>
      </c>
      <c r="H9" s="109">
        <f t="shared" si="0"/>
        <v>450.0711797450468</v>
      </c>
      <c r="I9" s="97"/>
      <c r="J9" s="97"/>
      <c r="K9" s="97"/>
      <c r="L9" s="97"/>
      <c r="M9" s="97"/>
      <c r="N9" s="97"/>
      <c r="O9" s="94"/>
      <c r="P9" s="94"/>
      <c r="Q9" s="94"/>
      <c r="R9" s="94"/>
      <c r="S9" s="94"/>
      <c r="T9" s="94"/>
    </row>
    <row r="10" spans="1:20" s="1" customFormat="1" ht="64.5" customHeight="1">
      <c r="A10" s="107" t="s">
        <v>28</v>
      </c>
      <c r="B10" s="64" t="s">
        <v>29</v>
      </c>
      <c r="C10" s="110">
        <f>'[1]fiche budgétaire'!B34/1000000</f>
        <v>167.06162164835968</v>
      </c>
      <c r="D10" s="110">
        <f>'[1]fiche budgétaire'!D34/1000000</f>
        <v>148.56689563526012</v>
      </c>
      <c r="E10" s="110"/>
      <c r="F10" s="110">
        <f>'[1]fiche budgétaire'!F34/1000000</f>
        <v>52.02709120366538</v>
      </c>
      <c r="G10" s="110"/>
      <c r="H10" s="110">
        <f>SUM(C10:G10)</f>
        <v>367.6556084872851</v>
      </c>
      <c r="I10" s="111"/>
      <c r="J10" s="111"/>
      <c r="K10" s="111"/>
      <c r="L10" s="111"/>
      <c r="M10" s="111"/>
      <c r="N10" s="111"/>
      <c r="O10" s="112"/>
      <c r="P10" s="112"/>
      <c r="Q10" s="112"/>
      <c r="R10" s="112"/>
      <c r="S10" s="112"/>
      <c r="T10" s="112"/>
    </row>
    <row r="11" spans="1:20" ht="59.25" customHeight="1" thickBot="1">
      <c r="A11" s="98" t="s">
        <v>5</v>
      </c>
      <c r="B11" s="113" t="s">
        <v>6</v>
      </c>
      <c r="C11" s="72">
        <f>C7-C10-C8</f>
        <v>64.58101209561211</v>
      </c>
      <c r="D11" s="72">
        <f>D7-D10-D8</f>
        <v>-37.67093210615306</v>
      </c>
      <c r="E11" s="72">
        <f>E7-E10-E8</f>
        <v>2.7437318495820286</v>
      </c>
      <c r="F11" s="72">
        <f>F7-F10-F8</f>
        <v>28.851932535354898</v>
      </c>
      <c r="G11" s="72">
        <f>G7-G10-G8</f>
        <v>23.909826883365582</v>
      </c>
      <c r="H11" s="72">
        <f>SUM(C11:G11)</f>
        <v>82.41557125776156</v>
      </c>
      <c r="I11" s="97"/>
      <c r="J11" s="97"/>
      <c r="K11" s="97"/>
      <c r="L11" s="97"/>
      <c r="M11" s="97"/>
      <c r="N11" s="97"/>
      <c r="O11" s="94"/>
      <c r="P11" s="94"/>
      <c r="Q11" s="94"/>
      <c r="R11" s="94"/>
      <c r="S11" s="94"/>
      <c r="T11" s="94"/>
    </row>
    <row r="12" spans="1:20" s="118" customFormat="1" ht="39.75" customHeight="1">
      <c r="A12" s="114"/>
      <c r="B12" s="74"/>
      <c r="C12" s="75"/>
      <c r="D12" s="75"/>
      <c r="E12" s="75"/>
      <c r="F12" s="75"/>
      <c r="G12" s="75"/>
      <c r="H12" s="115"/>
      <c r="I12" s="116"/>
      <c r="J12" s="116"/>
      <c r="K12" s="116"/>
      <c r="L12" s="116"/>
      <c r="M12" s="116"/>
      <c r="N12" s="116"/>
      <c r="O12" s="117"/>
      <c r="P12" s="117"/>
      <c r="Q12" s="117"/>
      <c r="R12" s="117"/>
      <c r="S12" s="117"/>
      <c r="T12" s="117"/>
    </row>
  </sheetData>
  <printOptions/>
  <pageMargins left="0" right="0" top="0.1968503937007874" bottom="0.3937007874015748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211">
    <pageSetUpPr fitToPage="1"/>
  </sheetPr>
  <dimension ref="A1:T12"/>
  <sheetViews>
    <sheetView zoomScale="75" zoomScaleNormal="75" workbookViewId="0" topLeftCell="A1">
      <selection activeCell="H9" sqref="H9"/>
    </sheetView>
  </sheetViews>
  <sheetFormatPr defaultColWidth="11.421875" defaultRowHeight="12.75"/>
  <cols>
    <col min="1" max="1" width="11.8515625" style="1" customWidth="1"/>
    <col min="2" max="2" width="36.7109375" style="21" customWidth="1"/>
    <col min="3" max="3" width="15.00390625" style="21" customWidth="1"/>
    <col min="4" max="4" width="16.00390625" style="21" customWidth="1"/>
    <col min="5" max="5" width="17.57421875" style="21" customWidth="1"/>
    <col min="6" max="6" width="18.8515625" style="21" customWidth="1"/>
    <col min="7" max="7" width="16.57421875" style="21" customWidth="1"/>
    <col min="8" max="8" width="17.140625" style="21" customWidth="1"/>
    <col min="9" max="9" width="7.28125" style="21" bestFit="1" customWidth="1"/>
    <col min="10" max="16384" width="7.28125" style="21" customWidth="1"/>
  </cols>
  <sheetData>
    <row r="1" ht="18.75">
      <c r="A1" s="92" t="s">
        <v>47</v>
      </c>
    </row>
    <row r="2" ht="16.5" thickBot="1">
      <c r="A2" s="1" t="s">
        <v>53</v>
      </c>
    </row>
    <row r="3" spans="1:20" ht="50.25" customHeight="1" thickBot="1">
      <c r="A3" s="133" t="s">
        <v>61</v>
      </c>
      <c r="B3" s="2"/>
      <c r="C3" s="26" t="s">
        <v>16</v>
      </c>
      <c r="D3" s="26" t="s">
        <v>13</v>
      </c>
      <c r="E3" s="26" t="s">
        <v>17</v>
      </c>
      <c r="F3" s="26" t="s">
        <v>18</v>
      </c>
      <c r="G3" s="26" t="s">
        <v>14</v>
      </c>
      <c r="H3" s="93" t="s">
        <v>19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44.25" customHeight="1">
      <c r="A4" s="95" t="s">
        <v>20</v>
      </c>
      <c r="B4" s="96" t="s">
        <v>21</v>
      </c>
      <c r="C4" s="31">
        <f>'[2]fiche budgétaire'!B27</f>
        <v>184093.460208</v>
      </c>
      <c r="D4" s="31">
        <f>'[2]fiche budgétaire'!D27</f>
        <v>66437.865</v>
      </c>
      <c r="E4" s="31">
        <f>'[2]fiche budgétaire'!E27</f>
        <v>5203</v>
      </c>
      <c r="F4" s="31">
        <f>'[2]fiche budgétaire'!F27</f>
        <v>77000</v>
      </c>
      <c r="G4" s="31">
        <f>'[2]fiche budgétaire'!G27</f>
        <v>44000</v>
      </c>
      <c r="H4" s="31">
        <f>SUM(C4:G4)</f>
        <v>376734.325208</v>
      </c>
      <c r="I4" s="97"/>
      <c r="J4" s="97"/>
      <c r="K4" s="97"/>
      <c r="L4" s="97"/>
      <c r="M4" s="97"/>
      <c r="N4" s="97"/>
      <c r="O4" s="94"/>
      <c r="P4" s="94"/>
      <c r="Q4" s="94"/>
      <c r="R4" s="94"/>
      <c r="S4" s="94"/>
      <c r="T4" s="94"/>
    </row>
    <row r="5" spans="1:20" ht="45.75" customHeight="1" thickBot="1">
      <c r="A5" s="98" t="s">
        <v>22</v>
      </c>
      <c r="B5" s="99" t="s">
        <v>23</v>
      </c>
      <c r="C5" s="42">
        <f>'[2]fiche budgétaire'!B28</f>
        <v>176015.650104</v>
      </c>
      <c r="D5" s="42">
        <f>'[2]fiche budgétaire'!D28</f>
        <v>66076.4325</v>
      </c>
      <c r="E5" s="42">
        <f>'[2]fiche budgétaire'!E28</f>
        <v>5203</v>
      </c>
      <c r="F5" s="42">
        <f>'[2]fiche budgétaire'!F28</f>
        <v>73500</v>
      </c>
      <c r="G5" s="42">
        <f>'[2]fiche budgétaire'!G28</f>
        <v>42000</v>
      </c>
      <c r="H5" s="42">
        <f>SUM(C5:G5)</f>
        <v>362795.082604</v>
      </c>
      <c r="I5" s="97"/>
      <c r="J5" s="97"/>
      <c r="K5" s="97"/>
      <c r="L5" s="97"/>
      <c r="M5" s="97"/>
      <c r="N5" s="97"/>
      <c r="O5" s="94"/>
      <c r="P5" s="94"/>
      <c r="Q5" s="94"/>
      <c r="R5" s="94"/>
      <c r="S5" s="94"/>
      <c r="T5" s="94"/>
    </row>
    <row r="6" spans="1:20" ht="57.75" customHeight="1" thickBot="1">
      <c r="A6" s="100" t="s">
        <v>48</v>
      </c>
      <c r="B6" s="101" t="s">
        <v>27</v>
      </c>
      <c r="C6" s="102">
        <f>C7*1000000/C5/12</f>
        <v>137.01600963628186</v>
      </c>
      <c r="D6" s="102">
        <f>D7*1000000/D5/12</f>
        <v>155.64633252321127</v>
      </c>
      <c r="E6" s="102">
        <f>E7*1000000/E5/12</f>
        <v>65.50195206157044</v>
      </c>
      <c r="F6" s="102">
        <f>F7*1000000/F5/12</f>
        <v>114.44207406108698</v>
      </c>
      <c r="G6" s="102">
        <f>G7*1000000/G5/12</f>
        <v>82.70046811131242</v>
      </c>
      <c r="H6" s="103"/>
      <c r="I6" s="97"/>
      <c r="J6" s="97"/>
      <c r="K6" s="97"/>
      <c r="L6" s="97"/>
      <c r="M6" s="97"/>
      <c r="N6" s="97"/>
      <c r="O6" s="94"/>
      <c r="P6" s="94"/>
      <c r="Q6" s="94"/>
      <c r="R6" s="94"/>
      <c r="S6" s="94"/>
      <c r="T6" s="94"/>
    </row>
    <row r="7" spans="1:20" ht="51" customHeight="1" thickBot="1">
      <c r="A7" s="100" t="s">
        <v>0</v>
      </c>
      <c r="B7" s="104" t="s">
        <v>1</v>
      </c>
      <c r="C7" s="3">
        <f>'[2]TE-CEet TPSA- 157€'!S11/1000000</f>
        <v>289.403544129433</v>
      </c>
      <c r="D7" s="3">
        <f>'[2]TE-CEet TPSA- 157€'!S9/1000000</f>
        <v>123.41465261811027</v>
      </c>
      <c r="E7" s="3">
        <f>C7*E4/C4/2</f>
        <v>4.089679878916212</v>
      </c>
      <c r="F7" s="3">
        <f>'[2]Gér hosp-157'!R9/1000000</f>
        <v>100.93790932187872</v>
      </c>
      <c r="G7" s="3">
        <f>'[2]Grce priv-abattement'!R9/1000000</f>
        <v>41.68103592810146</v>
      </c>
      <c r="H7" s="3">
        <f>SUM(C7:G7)</f>
        <v>559.5268218764396</v>
      </c>
      <c r="I7" s="97"/>
      <c r="J7" s="97"/>
      <c r="K7" s="97"/>
      <c r="L7" s="97"/>
      <c r="M7" s="97"/>
      <c r="N7" s="97"/>
      <c r="O7" s="94"/>
      <c r="P7" s="94"/>
      <c r="Q7" s="94"/>
      <c r="R7" s="94"/>
      <c r="S7" s="94"/>
      <c r="T7" s="94"/>
    </row>
    <row r="8" spans="1:20" ht="59.25" customHeight="1" thickBot="1">
      <c r="A8" s="105" t="s">
        <v>2</v>
      </c>
      <c r="B8" s="55" t="s">
        <v>35</v>
      </c>
      <c r="C8" s="106">
        <f>('[2]franchise MV seuil 1,4 SMIC'!B31+'[2]prél TE-TPSA au dessus 1,4SMIC'!T11)/1000000</f>
        <v>41.27611362348038</v>
      </c>
      <c r="D8" s="106">
        <f>('[2]franchise MV seuil 1,4 SMIC'!E31+'[2]prél TE-TPSA au dessus 1,4SMIC'!T9)/1000000</f>
        <v>4.26443454986523</v>
      </c>
      <c r="E8" s="106">
        <f>C8*E4/C4</f>
        <v>1.1665792958659145</v>
      </c>
      <c r="F8" s="106">
        <f>('[2]Gér hosp-prél 1,4 SMIC-147'!R9+'[2]franchise MV seuil 1,4 SMIC'!F31)/1000000</f>
        <v>14.299295709236453</v>
      </c>
      <c r="G8" s="106">
        <f>('[2]Grce priv-prell 1,4 SMIC-147'!R9+'[2]franchise MV seuil 1,4 SMIC'!G31)/1000000</f>
        <v>15.638130149927264</v>
      </c>
      <c r="H8" s="106">
        <f>SUM(C8:G8)</f>
        <v>76.64455332837524</v>
      </c>
      <c r="I8" s="97"/>
      <c r="J8" s="97"/>
      <c r="K8" s="97"/>
      <c r="L8" s="97"/>
      <c r="M8" s="97"/>
      <c r="N8" s="97"/>
      <c r="O8" s="94"/>
      <c r="P8" s="94"/>
      <c r="Q8" s="94"/>
      <c r="R8" s="94"/>
      <c r="S8" s="94"/>
      <c r="T8" s="94"/>
    </row>
    <row r="9" spans="1:20" ht="53.25" customHeight="1">
      <c r="A9" s="107" t="s">
        <v>3</v>
      </c>
      <c r="B9" s="108" t="s">
        <v>4</v>
      </c>
      <c r="C9" s="109">
        <f aca="true" t="shared" si="0" ref="C9:H9">C7-C8</f>
        <v>248.12743050595262</v>
      </c>
      <c r="D9" s="109">
        <f t="shared" si="0"/>
        <v>119.15021806824504</v>
      </c>
      <c r="E9" s="109">
        <f t="shared" si="0"/>
        <v>2.9231005830502976</v>
      </c>
      <c r="F9" s="109">
        <f t="shared" si="0"/>
        <v>86.63861361264227</v>
      </c>
      <c r="G9" s="109">
        <f t="shared" si="0"/>
        <v>26.042905778174195</v>
      </c>
      <c r="H9" s="109">
        <f t="shared" si="0"/>
        <v>482.88226854806436</v>
      </c>
      <c r="I9" s="97"/>
      <c r="J9" s="97"/>
      <c r="K9" s="97"/>
      <c r="L9" s="97"/>
      <c r="M9" s="97"/>
      <c r="N9" s="97"/>
      <c r="O9" s="94"/>
      <c r="P9" s="94"/>
      <c r="Q9" s="94"/>
      <c r="R9" s="94"/>
      <c r="S9" s="94"/>
      <c r="T9" s="94"/>
    </row>
    <row r="10" spans="1:20" s="1" customFormat="1" ht="64.5" customHeight="1">
      <c r="A10" s="107" t="s">
        <v>28</v>
      </c>
      <c r="B10" s="64" t="s">
        <v>29</v>
      </c>
      <c r="C10" s="110">
        <f>'[2]fiche budgétaire'!B34/1000000</f>
        <v>167.06162164835968</v>
      </c>
      <c r="D10" s="110">
        <f>'[2]fiche budgétaire'!D34/1000000</f>
        <v>148.56689563526012</v>
      </c>
      <c r="E10" s="110"/>
      <c r="F10" s="110">
        <f>'[2]fiche budgétaire'!F34/1000000</f>
        <v>52.02709120366538</v>
      </c>
      <c r="G10" s="110"/>
      <c r="H10" s="110">
        <f>SUM(C10:G10)</f>
        <v>367.6556084872851</v>
      </c>
      <c r="I10" s="111"/>
      <c r="J10" s="111"/>
      <c r="K10" s="111"/>
      <c r="L10" s="111"/>
      <c r="M10" s="111"/>
      <c r="N10" s="111"/>
      <c r="O10" s="112"/>
      <c r="P10" s="112"/>
      <c r="Q10" s="112"/>
      <c r="R10" s="112"/>
      <c r="S10" s="112"/>
      <c r="T10" s="112"/>
    </row>
    <row r="11" spans="1:20" ht="59.25" customHeight="1" thickBot="1">
      <c r="A11" s="98" t="s">
        <v>5</v>
      </c>
      <c r="B11" s="113" t="s">
        <v>6</v>
      </c>
      <c r="C11" s="72">
        <f>C7-C10-C8</f>
        <v>81.06580885759294</v>
      </c>
      <c r="D11" s="72">
        <f>D7-D10-D8</f>
        <v>-29.416677567015086</v>
      </c>
      <c r="E11" s="72">
        <f>E7-E10-E8</f>
        <v>2.9231005830502976</v>
      </c>
      <c r="F11" s="72">
        <f>F7-F10-F8</f>
        <v>34.61152240897689</v>
      </c>
      <c r="G11" s="72">
        <f>G7-G10-G8</f>
        <v>26.042905778174195</v>
      </c>
      <c r="H11" s="72">
        <f>SUM(C11:G11)</f>
        <v>115.22666006077924</v>
      </c>
      <c r="I11" s="97"/>
      <c r="J11" s="97"/>
      <c r="K11" s="97"/>
      <c r="L11" s="97"/>
      <c r="M11" s="97"/>
      <c r="N11" s="97"/>
      <c r="O11" s="94"/>
      <c r="P11" s="94"/>
      <c r="Q11" s="94"/>
      <c r="R11" s="94"/>
      <c r="S11" s="94"/>
      <c r="T11" s="94"/>
    </row>
    <row r="12" spans="1:20" s="118" customFormat="1" ht="39.75" customHeight="1">
      <c r="A12" s="114"/>
      <c r="B12" s="74"/>
      <c r="C12" s="75"/>
      <c r="D12" s="75"/>
      <c r="E12" s="75"/>
      <c r="F12" s="75"/>
      <c r="G12" s="75"/>
      <c r="H12" s="115"/>
      <c r="I12" s="116"/>
      <c r="J12" s="116"/>
      <c r="K12" s="116"/>
      <c r="L12" s="116"/>
      <c r="M12" s="116"/>
      <c r="N12" s="116"/>
      <c r="O12" s="117"/>
      <c r="P12" s="117"/>
      <c r="Q12" s="117"/>
      <c r="R12" s="117"/>
      <c r="S12" s="117"/>
      <c r="T12" s="117"/>
    </row>
  </sheetData>
  <printOptions/>
  <pageMargins left="0" right="0" top="0.1968503937007874" bottom="0.3937007874015748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Changer ce nom</cp:lastModifiedBy>
  <cp:lastPrinted>2003-04-23T09:25:15Z</cp:lastPrinted>
  <dcterms:created xsi:type="dcterms:W3CDTF">2003-04-09T15:27:56Z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