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tabRatio="599" firstSheet="4" activeTab="6"/>
  </bookViews>
  <sheets>
    <sheet name="Annexe 17-Synthèse stock-flux" sheetId="1" r:id="rId1"/>
    <sheet name="Annexe 17 -H 1 " sheetId="2" r:id="rId2"/>
    <sheet name="Annexe 17 - H 2" sheetId="3" r:id="rId3"/>
    <sheet name="Annexe 17 - H 3 " sheetId="4" r:id="rId4"/>
    <sheet name="Annexe 17 - H 4" sheetId="5" r:id="rId5"/>
    <sheet name="Annexe 17 - H 5" sheetId="6" r:id="rId6"/>
    <sheet name="Annexe 13 - Synthèse stock" sheetId="7" r:id="rId7"/>
    <sheet name="Annexe 13 -H 1" sheetId="8" r:id="rId8"/>
    <sheet name="Annexe 13-H 2" sheetId="9" r:id="rId9"/>
    <sheet name="Annexe 13-H 3" sheetId="10" r:id="rId10"/>
    <sheet name="Annexe 13 - H 4" sheetId="11" r:id="rId11"/>
    <sheet name="Annexe 13 - H 5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<sst xmlns="http://schemas.openxmlformats.org/spreadsheetml/2006/main" count="317" uniqueCount="69">
  <si>
    <t>D</t>
  </si>
  <si>
    <t>Coût brut du dispositif après application de la cotation (M€)</t>
  </si>
  <si>
    <t>E</t>
  </si>
  <si>
    <t>F=D - E</t>
  </si>
  <si>
    <t>Coût net pour les financeurs publics</t>
  </si>
  <si>
    <t>H=F - G</t>
  </si>
  <si>
    <t xml:space="preserve">Impact de la réforme pour les finances publiques </t>
  </si>
  <si>
    <t>Impact sur le budget de l'Etat</t>
  </si>
  <si>
    <t>Montant du prélèvement (en M€)</t>
  </si>
  <si>
    <t>H 1</t>
  </si>
  <si>
    <t>H 2</t>
  </si>
  <si>
    <t>H 3</t>
  </si>
  <si>
    <t>H 4</t>
  </si>
  <si>
    <t>TPSA</t>
  </si>
  <si>
    <t>Gérance privée</t>
  </si>
  <si>
    <t>Equilibre financier de la réforme appliqué à la totalité des mesures TE/CE et TPSA et aux flux des mandats spéciaux et des gérances de tutelle en 2004</t>
  </si>
  <si>
    <t>TE-CE</t>
  </si>
  <si>
    <t>Mandats spéciaux</t>
  </si>
  <si>
    <t>Gérance hospitalière</t>
  </si>
  <si>
    <t>TOTAL</t>
  </si>
  <si>
    <t>A</t>
  </si>
  <si>
    <t xml:space="preserve">Nombre de mesures au 31/12/04 </t>
  </si>
  <si>
    <t>B</t>
  </si>
  <si>
    <t>Nombre de mesures en moyenne financées dans l'année 2004</t>
  </si>
  <si>
    <t>B (2)</t>
  </si>
  <si>
    <t>Nombre de mesures nouvelles en 2004</t>
  </si>
  <si>
    <t>stock:C=D/B/12
flux: C=D/B(2)/6</t>
  </si>
  <si>
    <t>Coût moyen brut unitaire mensuel après application de la cotation (en €)</t>
  </si>
  <si>
    <t>G</t>
  </si>
  <si>
    <t>Estimation des ressources publiques en 2004 en M€ à dispositif constant (Etat et sécurité sociale)</t>
  </si>
  <si>
    <t>qualité 50-Franchise MV-1,4 SMIC</t>
  </si>
  <si>
    <t>qualité 40- franchise MV-1,5 SMIC</t>
  </si>
  <si>
    <t xml:space="preserve">passage 65 à 40 mesures </t>
  </si>
  <si>
    <t xml:space="preserve">passage 65 à 50 mesures </t>
  </si>
  <si>
    <t xml:space="preserve">Franchise MV-AAH - Seuil 1,5 SMIC - Taux 8,75 et 20 % </t>
  </si>
  <si>
    <t>Cotation DGAS</t>
  </si>
  <si>
    <t>Prélèvement: franchise MV et seuil 1,4 SMIC
(Taux: 7,5% et 18,5%) (en M€)</t>
  </si>
  <si>
    <t>Prélèvement: franchise MV et seuil 1,4 SMIC
(Taux: 8,5% et 19,5%) (en M€)</t>
  </si>
  <si>
    <t xml:space="preserve">passage 65 à 60 mesures </t>
  </si>
  <si>
    <t xml:space="preserve">H 5 </t>
  </si>
  <si>
    <t xml:space="preserve">passage 65 à 55 mesures </t>
  </si>
  <si>
    <t xml:space="preserve">passage 65 à 45 mesures </t>
  </si>
  <si>
    <t xml:space="preserve">Franchise MV-AAH - Seuil 1,4 SMIC - Taux 7,5 et 18,5% </t>
  </si>
  <si>
    <t xml:space="preserve">Franchise MV-AAH - Seuil 1,4 SMIC - Taux 8,5 et 19,5% </t>
  </si>
  <si>
    <t xml:space="preserve">Franchise MV-AAH - Seuil 1,5 SMIC - Taux 8 et 19,25 % </t>
  </si>
  <si>
    <t xml:space="preserve">Franchise MV-AAH - Seuil 1,4 SMIC - Taux 9,5 et 20 % </t>
  </si>
  <si>
    <t xml:space="preserve">FLUX des gérances et mandats spéciaux </t>
  </si>
  <si>
    <r>
      <t>Surcôut pour les finances publiques par rapport à  l'hypothèse 65 mesures - Franchise MV-1,4 SMIC soit</t>
    </r>
    <r>
      <rPr>
        <b/>
        <sz val="12"/>
        <rFont val="Times New Roman"/>
        <family val="1"/>
      </rPr>
      <t xml:space="preserve"> - 10,9 M€</t>
    </r>
  </si>
  <si>
    <r>
      <t xml:space="preserve">Surcoût pour le budget de l'Etat de l'hypothèse 65 mesures - Franchise MV-1,4 SMIC soit </t>
    </r>
    <r>
      <rPr>
        <b/>
        <sz val="12"/>
        <rFont val="Times New Roman"/>
        <family val="1"/>
      </rPr>
      <t>+ 38,8 M€</t>
    </r>
  </si>
  <si>
    <t xml:space="preserve">Equilibre financier de la réforme appliqué à la totalité des mesures en 2004 </t>
  </si>
  <si>
    <t>C=D/B/12</t>
  </si>
  <si>
    <t>Prélèvement: franchise MV et seuil 1,4 SMIC
(Taux: 9,5% et 20 % (en M€)</t>
  </si>
  <si>
    <r>
      <t>Surcôut pour les finances publiques par rapport à  l'hypothèse 65 mesures - Franchise MV-1,4 SMIC soit</t>
    </r>
    <r>
      <rPr>
        <b/>
        <sz val="12"/>
        <rFont val="Times New Roman"/>
        <family val="1"/>
      </rPr>
      <t xml:space="preserve"> + 18,7 M€</t>
    </r>
  </si>
  <si>
    <r>
      <t xml:space="preserve">Surcoût pour le budget de l'Etat de l'hypothèse 65 mesures - Franchise MV-1,4 SMIC soit </t>
    </r>
    <r>
      <rPr>
        <b/>
        <sz val="12"/>
        <rFont val="Times New Roman"/>
        <family val="1"/>
      </rPr>
      <t>+ 68,4 M€</t>
    </r>
  </si>
  <si>
    <t>qualité 60-Franchise MV-1,4 SMIC</t>
  </si>
  <si>
    <t>qualité 55-Franchise MV-1,4 SMIC</t>
  </si>
  <si>
    <t>qualité 45- franchise MV-1,5 SMIC</t>
  </si>
  <si>
    <r>
      <t xml:space="preserve"> Annexe 13</t>
    </r>
    <r>
      <rPr>
        <sz val="10"/>
        <rFont val="Arial"/>
        <family val="0"/>
      </rPr>
      <t xml:space="preserve">- Stocks </t>
    </r>
  </si>
  <si>
    <t>Cotation DGAS- Synthèse des hypothèses</t>
  </si>
  <si>
    <r>
      <t xml:space="preserve"> Annexe 13- H 1</t>
    </r>
    <r>
      <rPr>
        <sz val="12"/>
        <rFont val="Times New Roman"/>
        <family val="1"/>
      </rPr>
      <t xml:space="preserve"> - Cotation DGAS</t>
    </r>
  </si>
  <si>
    <r>
      <t xml:space="preserve">Annexe 13 -H 2 </t>
    </r>
    <r>
      <rPr>
        <sz val="12"/>
        <rFont val="Times New Roman"/>
        <family val="1"/>
      </rPr>
      <t>- Cotation DGAS</t>
    </r>
  </si>
  <si>
    <r>
      <t xml:space="preserve"> </t>
    </r>
    <r>
      <rPr>
        <b/>
        <u val="single"/>
        <sz val="12"/>
        <rFont val="Times New Roman"/>
        <family val="1"/>
      </rPr>
      <t>Annexe 13- H 3</t>
    </r>
    <r>
      <rPr>
        <sz val="12"/>
        <rFont val="Times New Roman"/>
        <family val="1"/>
      </rPr>
      <t xml:space="preserve"> - Cotation DGAS</t>
    </r>
  </si>
  <si>
    <r>
      <t>Annexe 13 - H 4-</t>
    </r>
    <r>
      <rPr>
        <sz val="12"/>
        <rFont val="Times New Roman"/>
        <family val="1"/>
      </rPr>
      <t xml:space="preserve"> Cotation DGAS</t>
    </r>
  </si>
  <si>
    <r>
      <t>Annexe 13 - H5</t>
    </r>
    <r>
      <rPr>
        <sz val="12"/>
        <rFont val="Times New Roman"/>
        <family val="1"/>
      </rPr>
      <t xml:space="preserve"> Cotation DGAS</t>
    </r>
  </si>
  <si>
    <r>
      <t>Annexe 17 - Synthèse</t>
    </r>
    <r>
      <rPr>
        <u val="single"/>
        <sz val="12"/>
        <rFont val="Arial"/>
        <family val="2"/>
      </rPr>
      <t xml:space="preserve"> - Cotation DGAS</t>
    </r>
  </si>
  <si>
    <t>Prélèvement: franchise MV et seuil 1,5 SMIC
(Taux: 8,75% et 20%) (en M€)</t>
  </si>
  <si>
    <t>Prélèvement: franchise MV et seuil 1,5 SMIC
(Taux: 8% et 19,25%) (en M€)</t>
  </si>
  <si>
    <t>Prélèvement: franchise MV et seuil 1,5 SMIC
(Taux: 8,75% et 20 % (en M€)</t>
  </si>
  <si>
    <t>Prélèvement: franchise MV et seuil 1,4 SMIC
(Taux: 9,5% et 20%) (en M€)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</si>
</sst>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12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28" applyFont="1" applyAlignment="1">
      <alignment vertical="center"/>
      <protection/>
    </xf>
    <xf numFmtId="181" fontId="4" fillId="0" borderId="1" xfId="15" applyNumberFormat="1" applyFont="1" applyBorder="1" applyAlignment="1">
      <alignment horizontal="center" vertical="center" wrapText="1"/>
    </xf>
    <xf numFmtId="181" fontId="4" fillId="0" borderId="2" xfId="15" applyNumberFormat="1" applyFont="1" applyBorder="1" applyAlignment="1">
      <alignment horizontal="center" vertical="center" wrapText="1"/>
    </xf>
    <xf numFmtId="182" fontId="4" fillId="0" borderId="3" xfId="15" applyNumberFormat="1" applyFont="1" applyFill="1" applyBorder="1" applyAlignment="1">
      <alignment horizontal="center" vertical="center"/>
    </xf>
    <xf numFmtId="182" fontId="4" fillId="2" borderId="4" xfId="15" applyNumberFormat="1" applyFont="1" applyFill="1" applyBorder="1" applyAlignment="1">
      <alignment horizontal="center" vertical="center" wrapText="1"/>
    </xf>
    <xf numFmtId="182" fontId="3" fillId="0" borderId="5" xfId="15" applyNumberFormat="1" applyFont="1" applyBorder="1" applyAlignment="1">
      <alignment vertical="center"/>
    </xf>
    <xf numFmtId="182" fontId="4" fillId="0" borderId="5" xfId="15" applyNumberFormat="1" applyFont="1" applyFill="1" applyBorder="1" applyAlignment="1">
      <alignment vertical="center" wrapText="1"/>
    </xf>
    <xf numFmtId="182" fontId="3" fillId="0" borderId="6" xfId="15" applyNumberFormat="1" applyFont="1" applyBorder="1" applyAlignment="1">
      <alignment vertical="center"/>
    </xf>
    <xf numFmtId="182" fontId="3" fillId="0" borderId="6" xfId="15" applyNumberFormat="1" applyFont="1" applyFill="1" applyBorder="1" applyAlignment="1">
      <alignment vertical="center" wrapText="1"/>
    </xf>
    <xf numFmtId="182" fontId="4" fillId="0" borderId="6" xfId="15" applyNumberFormat="1" applyFont="1" applyFill="1" applyBorder="1" applyAlignment="1">
      <alignment vertical="center" wrapText="1"/>
    </xf>
    <xf numFmtId="182" fontId="3" fillId="0" borderId="7" xfId="15" applyNumberFormat="1" applyFont="1" applyBorder="1" applyAlignment="1">
      <alignment vertical="center"/>
    </xf>
    <xf numFmtId="182" fontId="4" fillId="0" borderId="7" xfId="15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28" applyFont="1">
      <alignment/>
      <protection/>
    </xf>
    <xf numFmtId="0" fontId="3" fillId="0" borderId="0" xfId="28" applyFont="1" applyAlignment="1">
      <alignment/>
      <protection/>
    </xf>
    <xf numFmtId="9" fontId="3" fillId="0" borderId="0" xfId="28" applyNumberFormat="1" applyFont="1" applyAlignment="1">
      <alignment/>
      <protection/>
    </xf>
    <xf numFmtId="181" fontId="4" fillId="0" borderId="9" xfId="15" applyNumberFormat="1" applyFont="1" applyBorder="1" applyAlignment="1">
      <alignment horizontal="center" vertical="center" wrapText="1"/>
    </xf>
    <xf numFmtId="181" fontId="4" fillId="0" borderId="10" xfId="15" applyNumberFormat="1" applyFont="1" applyBorder="1" applyAlignment="1">
      <alignment horizontal="center" vertical="center" wrapText="1"/>
    </xf>
    <xf numFmtId="181" fontId="4" fillId="0" borderId="11" xfId="15" applyNumberFormat="1" applyFont="1" applyBorder="1" applyAlignment="1">
      <alignment horizontal="center" vertical="center" wrapText="1"/>
    </xf>
    <xf numFmtId="181" fontId="4" fillId="0" borderId="3" xfId="15" applyNumberFormat="1" applyFont="1" applyBorder="1" applyAlignment="1">
      <alignment horizontal="center" vertical="center" wrapText="1"/>
    </xf>
    <xf numFmtId="181" fontId="7" fillId="0" borderId="12" xfId="15" applyNumberFormat="1" applyFont="1" applyBorder="1" applyAlignment="1">
      <alignment horizontal="center" vertical="center" wrapText="1"/>
    </xf>
    <xf numFmtId="181" fontId="3" fillId="0" borderId="0" xfId="15" applyNumberFormat="1" applyFont="1" applyAlignment="1">
      <alignment/>
    </xf>
    <xf numFmtId="0" fontId="3" fillId="0" borderId="5" xfId="28" applyFont="1" applyBorder="1" applyAlignment="1">
      <alignment/>
      <protection/>
    </xf>
    <xf numFmtId="181" fontId="3" fillId="0" borderId="5" xfId="15" applyNumberFormat="1" applyFont="1" applyBorder="1" applyAlignment="1">
      <alignment horizontal="left" vertical="center" wrapText="1"/>
    </xf>
    <xf numFmtId="181" fontId="3" fillId="0" borderId="5" xfId="15" applyNumberFormat="1" applyFont="1" applyBorder="1" applyAlignment="1">
      <alignment horizontal="center" vertical="center" wrapText="1"/>
    </xf>
    <xf numFmtId="181" fontId="3" fillId="0" borderId="13" xfId="15" applyNumberFormat="1" applyFont="1" applyBorder="1" applyAlignment="1">
      <alignment horizontal="center" vertical="center" wrapText="1"/>
    </xf>
    <xf numFmtId="181" fontId="3" fillId="0" borderId="14" xfId="15" applyNumberFormat="1" applyFont="1" applyBorder="1" applyAlignment="1">
      <alignment horizontal="center" vertical="center" wrapText="1"/>
    </xf>
    <xf numFmtId="0" fontId="3" fillId="0" borderId="6" xfId="28" applyFont="1" applyBorder="1" applyAlignment="1">
      <alignment/>
      <protection/>
    </xf>
    <xf numFmtId="181" fontId="3" fillId="0" borderId="6" xfId="15" applyNumberFormat="1" applyFont="1" applyBorder="1" applyAlignment="1">
      <alignment horizontal="left" vertical="center" wrapText="1"/>
    </xf>
    <xf numFmtId="181" fontId="3" fillId="0" borderId="6" xfId="15" applyNumberFormat="1" applyFont="1" applyBorder="1" applyAlignment="1">
      <alignment horizontal="center" vertical="center" wrapText="1"/>
    </xf>
    <xf numFmtId="181" fontId="3" fillId="0" borderId="15" xfId="15" applyNumberFormat="1" applyFont="1" applyBorder="1" applyAlignment="1">
      <alignment horizontal="center" vertical="center" wrapText="1"/>
    </xf>
    <xf numFmtId="181" fontId="3" fillId="0" borderId="16" xfId="15" applyNumberFormat="1" applyFont="1" applyBorder="1" applyAlignment="1">
      <alignment horizontal="center" vertical="center" wrapText="1"/>
    </xf>
    <xf numFmtId="182" fontId="3" fillId="0" borderId="0" xfId="15" applyNumberFormat="1" applyFont="1" applyAlignment="1">
      <alignment/>
    </xf>
    <xf numFmtId="0" fontId="3" fillId="0" borderId="17" xfId="28" applyFont="1" applyBorder="1">
      <alignment/>
      <protection/>
    </xf>
    <xf numFmtId="181" fontId="3" fillId="0" borderId="17" xfId="15" applyNumberFormat="1" applyFont="1" applyBorder="1" applyAlignment="1">
      <alignment horizontal="left" vertical="center" wrapText="1"/>
    </xf>
    <xf numFmtId="181" fontId="3" fillId="0" borderId="17" xfId="15" applyNumberFormat="1" applyFont="1" applyBorder="1" applyAlignment="1">
      <alignment horizontal="center" vertical="center" wrapText="1"/>
    </xf>
    <xf numFmtId="181" fontId="3" fillId="0" borderId="18" xfId="15" applyNumberFormat="1" applyFont="1" applyBorder="1" applyAlignment="1">
      <alignment horizontal="center" vertical="center" wrapText="1"/>
    </xf>
    <xf numFmtId="181" fontId="3" fillId="0" borderId="19" xfId="15" applyNumberFormat="1" applyFont="1" applyBorder="1" applyAlignment="1">
      <alignment horizontal="center" vertical="center" wrapText="1"/>
    </xf>
    <xf numFmtId="0" fontId="3" fillId="0" borderId="5" xfId="28" applyFont="1" applyBorder="1" applyAlignment="1">
      <alignment wrapText="1"/>
      <protection/>
    </xf>
    <xf numFmtId="182" fontId="3" fillId="0" borderId="5" xfId="15" applyNumberFormat="1" applyFont="1" applyBorder="1" applyAlignment="1">
      <alignment horizontal="center" vertical="center" wrapText="1"/>
    </xf>
    <xf numFmtId="182" fontId="3" fillId="0" borderId="13" xfId="15" applyNumberFormat="1" applyFont="1" applyBorder="1" applyAlignment="1">
      <alignment horizontal="center" vertical="center" wrapText="1"/>
    </xf>
    <xf numFmtId="182" fontId="3" fillId="0" borderId="14" xfId="15" applyNumberFormat="1" applyFont="1" applyBorder="1" applyAlignment="1">
      <alignment horizontal="center" vertical="center" wrapText="1"/>
    </xf>
    <xf numFmtId="0" fontId="3" fillId="0" borderId="17" xfId="28" applyFont="1" applyBorder="1" applyAlignment="1">
      <alignment/>
      <protection/>
    </xf>
    <xf numFmtId="181" fontId="4" fillId="2" borderId="17" xfId="15" applyNumberFormat="1" applyFont="1" applyFill="1" applyBorder="1" applyAlignment="1">
      <alignment vertical="center" wrapText="1"/>
    </xf>
    <xf numFmtId="182" fontId="4" fillId="2" borderId="17" xfId="15" applyNumberFormat="1" applyFont="1" applyFill="1" applyBorder="1" applyAlignment="1">
      <alignment horizontal="center" vertical="center"/>
    </xf>
    <xf numFmtId="182" fontId="4" fillId="2" borderId="18" xfId="15" applyNumberFormat="1" applyFont="1" applyFill="1" applyBorder="1" applyAlignment="1">
      <alignment horizontal="center" vertical="center"/>
    </xf>
    <xf numFmtId="182" fontId="4" fillId="2" borderId="19" xfId="15" applyNumberFormat="1" applyFont="1" applyFill="1" applyBorder="1" applyAlignment="1">
      <alignment horizontal="center" vertical="center" wrapText="1"/>
    </xf>
    <xf numFmtId="0" fontId="3" fillId="0" borderId="3" xfId="28" applyFont="1" applyBorder="1" applyAlignment="1">
      <alignment/>
      <protection/>
    </xf>
    <xf numFmtId="181" fontId="3" fillId="0" borderId="3" xfId="15" applyNumberFormat="1" applyFont="1" applyBorder="1" applyAlignment="1">
      <alignment vertical="center" wrapText="1"/>
    </xf>
    <xf numFmtId="182" fontId="3" fillId="0" borderId="3" xfId="15" applyNumberFormat="1" applyFont="1" applyBorder="1" applyAlignment="1">
      <alignment horizontal="center" vertical="center"/>
    </xf>
    <xf numFmtId="182" fontId="3" fillId="0" borderId="4" xfId="15" applyNumberFormat="1" applyFont="1" applyBorder="1" applyAlignment="1">
      <alignment horizontal="center" vertical="center"/>
    </xf>
    <xf numFmtId="178" fontId="3" fillId="0" borderId="3" xfId="28" applyNumberFormat="1" applyFont="1" applyBorder="1" applyAlignment="1">
      <alignment horizontal="center" vertical="center"/>
      <protection/>
    </xf>
    <xf numFmtId="182" fontId="4" fillId="0" borderId="12" xfId="15" applyNumberFormat="1" applyFont="1" applyBorder="1" applyAlignment="1">
      <alignment horizontal="center" vertical="center" wrapText="1"/>
    </xf>
    <xf numFmtId="181" fontId="4" fillId="2" borderId="3" xfId="15" applyNumberFormat="1" applyFont="1" applyFill="1" applyBorder="1" applyAlignment="1">
      <alignment vertical="center" wrapText="1"/>
    </xf>
    <xf numFmtId="182" fontId="4" fillId="2" borderId="3" xfId="15" applyNumberFormat="1" applyFont="1" applyFill="1" applyBorder="1" applyAlignment="1">
      <alignment horizontal="center" vertical="center" wrapText="1"/>
    </xf>
    <xf numFmtId="182" fontId="4" fillId="2" borderId="12" xfId="15" applyNumberFormat="1" applyFont="1" applyFill="1" applyBorder="1" applyAlignment="1">
      <alignment horizontal="center" vertical="center" wrapText="1"/>
    </xf>
    <xf numFmtId="0" fontId="3" fillId="0" borderId="20" xfId="28" applyFont="1" applyBorder="1" applyAlignment="1">
      <alignment/>
      <protection/>
    </xf>
    <xf numFmtId="181" fontId="3" fillId="0" borderId="16" xfId="15" applyNumberFormat="1" applyFont="1" applyBorder="1" applyAlignment="1">
      <alignment horizontal="left" vertical="center" wrapText="1"/>
    </xf>
    <xf numFmtId="182" fontId="3" fillId="0" borderId="20" xfId="15" applyNumberFormat="1" applyFont="1" applyBorder="1" applyAlignment="1">
      <alignment horizontal="center" vertical="center" wrapText="1"/>
    </xf>
    <xf numFmtId="182" fontId="3" fillId="0" borderId="21" xfId="15" applyNumberFormat="1" applyFont="1" applyBorder="1" applyAlignment="1">
      <alignment horizontal="center" vertical="center" wrapText="1"/>
    </xf>
    <xf numFmtId="182" fontId="4" fillId="0" borderId="20" xfId="15" applyNumberFormat="1" applyFont="1" applyFill="1" applyBorder="1" applyAlignment="1">
      <alignment horizontal="center" vertical="center" wrapText="1"/>
    </xf>
    <xf numFmtId="182" fontId="4" fillId="0" borderId="22" xfId="15" applyNumberFormat="1" applyFont="1" applyBorder="1" applyAlignment="1">
      <alignment horizontal="center" vertical="center" wrapText="1"/>
    </xf>
    <xf numFmtId="182" fontId="3" fillId="0" borderId="0" xfId="15" applyNumberFormat="1" applyFont="1" applyFill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28" applyFont="1" applyFill="1">
      <alignment/>
      <protection/>
    </xf>
    <xf numFmtId="182" fontId="4" fillId="2" borderId="17" xfId="15" applyNumberFormat="1" applyFont="1" applyFill="1" applyBorder="1" applyAlignment="1">
      <alignment horizontal="center" vertical="center" wrapText="1"/>
    </xf>
    <xf numFmtId="182" fontId="4" fillId="2" borderId="18" xfId="15" applyNumberFormat="1" applyFont="1" applyFill="1" applyBorder="1" applyAlignment="1">
      <alignment horizontal="center" vertical="center" wrapText="1"/>
    </xf>
    <xf numFmtId="181" fontId="3" fillId="0" borderId="0" xfId="15" applyNumberFormat="1" applyFont="1" applyFill="1" applyBorder="1" applyAlignment="1">
      <alignment vertical="center" wrapText="1"/>
    </xf>
    <xf numFmtId="182" fontId="4" fillId="0" borderId="0" xfId="1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182" fontId="0" fillId="2" borderId="3" xfId="15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78" fontId="4" fillId="0" borderId="12" xfId="15" applyNumberFormat="1" applyFont="1" applyBorder="1" applyAlignment="1">
      <alignment horizontal="center" vertical="center" wrapText="1"/>
    </xf>
    <xf numFmtId="182" fontId="4" fillId="0" borderId="12" xfId="15" applyNumberFormat="1" applyFont="1" applyFill="1" applyBorder="1" applyAlignment="1">
      <alignment horizontal="center" vertical="center"/>
    </xf>
    <xf numFmtId="182" fontId="4" fillId="2" borderId="2" xfId="15" applyNumberFormat="1" applyFont="1" applyFill="1" applyBorder="1" applyAlignment="1">
      <alignment vertical="center" wrapText="1"/>
    </xf>
    <xf numFmtId="182" fontId="4" fillId="2" borderId="2" xfId="15" applyNumberFormat="1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82" fontId="4" fillId="2" borderId="23" xfId="15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194" fontId="3" fillId="0" borderId="26" xfId="0" applyNumberFormat="1" applyFont="1" applyBorder="1" applyAlignment="1">
      <alignment horizontal="center" vertical="center"/>
    </xf>
    <xf numFmtId="194" fontId="3" fillId="0" borderId="27" xfId="0" applyNumberFormat="1" applyFont="1" applyBorder="1" applyAlignment="1">
      <alignment horizontal="center" vertical="center"/>
    </xf>
    <xf numFmtId="180" fontId="0" fillId="0" borderId="0" xfId="38" applyNumberFormat="1" applyAlignment="1">
      <alignment/>
    </xf>
    <xf numFmtId="182" fontId="4" fillId="0" borderId="28" xfId="15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29" xfId="0" applyNumberFormat="1" applyFont="1" applyBorder="1" applyAlignment="1">
      <alignment horizontal="center" vertical="center"/>
    </xf>
    <xf numFmtId="194" fontId="3" fillId="0" borderId="30" xfId="0" applyNumberFormat="1" applyFont="1" applyBorder="1" applyAlignment="1">
      <alignment horizontal="center" vertical="center"/>
    </xf>
    <xf numFmtId="182" fontId="0" fillId="2" borderId="3" xfId="15" applyNumberFormat="1" applyFont="1" applyFill="1" applyBorder="1" applyAlignment="1">
      <alignment vertical="center"/>
    </xf>
    <xf numFmtId="180" fontId="0" fillId="0" borderId="0" xfId="38" applyNumberFormat="1" applyAlignment="1">
      <alignment/>
    </xf>
    <xf numFmtId="0" fontId="6" fillId="0" borderId="0" xfId="28" applyFont="1" applyFill="1" applyAlignment="1">
      <alignment vertical="center"/>
      <protection/>
    </xf>
    <xf numFmtId="181" fontId="7" fillId="0" borderId="3" xfId="15" applyNumberFormat="1" applyFont="1" applyBorder="1" applyAlignment="1">
      <alignment horizontal="center" vertical="center" wrapText="1"/>
    </xf>
    <xf numFmtId="181" fontId="3" fillId="0" borderId="0" xfId="15" applyNumberFormat="1" applyFont="1" applyAlignment="1">
      <alignment/>
    </xf>
    <xf numFmtId="0" fontId="3" fillId="0" borderId="5" xfId="28" applyFont="1" applyBorder="1" applyAlignment="1">
      <alignment vertical="center"/>
      <protection/>
    </xf>
    <xf numFmtId="181" fontId="3" fillId="0" borderId="14" xfId="15" applyNumberFormat="1" applyFont="1" applyBorder="1" applyAlignment="1">
      <alignment vertical="center" wrapText="1"/>
    </xf>
    <xf numFmtId="182" fontId="3" fillId="0" borderId="0" xfId="15" applyNumberFormat="1" applyFont="1" applyAlignment="1">
      <alignment/>
    </xf>
    <xf numFmtId="0" fontId="3" fillId="0" borderId="17" xfId="28" applyFont="1" applyBorder="1" applyAlignment="1">
      <alignment vertical="center"/>
      <protection/>
    </xf>
    <xf numFmtId="181" fontId="3" fillId="0" borderId="19" xfId="15" applyNumberFormat="1" applyFont="1" applyBorder="1" applyAlignment="1">
      <alignment vertical="center" wrapText="1"/>
    </xf>
    <xf numFmtId="0" fontId="3" fillId="0" borderId="3" xfId="28" applyFont="1" applyBorder="1" applyAlignment="1">
      <alignment vertical="center"/>
      <protection/>
    </xf>
    <xf numFmtId="181" fontId="3" fillId="0" borderId="12" xfId="15" applyNumberFormat="1" applyFont="1" applyBorder="1" applyAlignment="1">
      <alignment vertical="center" wrapText="1"/>
    </xf>
    <xf numFmtId="182" fontId="3" fillId="0" borderId="3" xfId="15" applyNumberFormat="1" applyFont="1" applyBorder="1" applyAlignment="1">
      <alignment horizontal="center" vertical="center" wrapText="1"/>
    </xf>
    <xf numFmtId="43" fontId="3" fillId="0" borderId="3" xfId="15" applyNumberFormat="1" applyFont="1" applyBorder="1" applyAlignment="1">
      <alignment horizontal="center" vertical="center" wrapText="1"/>
    </xf>
    <xf numFmtId="181" fontId="4" fillId="2" borderId="12" xfId="15" applyNumberFormat="1" applyFont="1" applyFill="1" applyBorder="1" applyAlignment="1">
      <alignment vertical="center" wrapText="1"/>
    </xf>
    <xf numFmtId="182" fontId="4" fillId="2" borderId="3" xfId="15" applyNumberFormat="1" applyFont="1" applyFill="1" applyBorder="1" applyAlignment="1">
      <alignment horizontal="center" vertical="center"/>
    </xf>
    <xf numFmtId="0" fontId="3" fillId="0" borderId="20" xfId="28" applyFont="1" applyBorder="1" applyAlignment="1">
      <alignment vertical="center"/>
      <protection/>
    </xf>
    <xf numFmtId="182" fontId="3" fillId="0" borderId="20" xfId="15" applyNumberFormat="1" applyFont="1" applyBorder="1" applyAlignment="1">
      <alignment horizontal="center" vertical="center"/>
    </xf>
    <xf numFmtId="0" fontId="3" fillId="0" borderId="6" xfId="28" applyFont="1" applyBorder="1" applyAlignment="1">
      <alignment vertical="center"/>
      <protection/>
    </xf>
    <xf numFmtId="181" fontId="4" fillId="2" borderId="16" xfId="15" applyNumberFormat="1" applyFont="1" applyFill="1" applyBorder="1" applyAlignment="1">
      <alignment vertical="center" wrapText="1"/>
    </xf>
    <xf numFmtId="182" fontId="4" fillId="2" borderId="6" xfId="15" applyNumberFormat="1" applyFont="1" applyFill="1" applyBorder="1" applyAlignment="1">
      <alignment horizontal="center" vertical="center"/>
    </xf>
    <xf numFmtId="182" fontId="3" fillId="0" borderId="6" xfId="15" applyNumberFormat="1" applyFont="1" applyBorder="1" applyAlignment="1">
      <alignment horizontal="center" vertical="center" wrapText="1"/>
    </xf>
    <xf numFmtId="182" fontId="3" fillId="0" borderId="0" xfId="15" applyNumberFormat="1" applyFont="1" applyAlignment="1">
      <alignment vertical="center"/>
    </xf>
    <xf numFmtId="181" fontId="3" fillId="0" borderId="0" xfId="15" applyNumberFormat="1" applyFont="1" applyAlignment="1">
      <alignment vertical="center"/>
    </xf>
    <xf numFmtId="181" fontId="4" fillId="2" borderId="19" xfId="15" applyNumberFormat="1" applyFont="1" applyFill="1" applyBorder="1" applyAlignment="1">
      <alignment vertical="center" wrapText="1"/>
    </xf>
    <xf numFmtId="0" fontId="3" fillId="0" borderId="0" xfId="28" applyFont="1" applyFill="1" applyBorder="1" applyAlignment="1">
      <alignment vertical="center"/>
      <protection/>
    </xf>
    <xf numFmtId="182" fontId="4" fillId="0" borderId="0" xfId="15" applyNumberFormat="1" applyFont="1" applyFill="1" applyBorder="1" applyAlignment="1">
      <alignment vertical="center" wrapText="1"/>
    </xf>
    <xf numFmtId="182" fontId="3" fillId="0" borderId="0" xfId="15" applyNumberFormat="1" applyFont="1" applyFill="1" applyBorder="1" applyAlignment="1">
      <alignment/>
    </xf>
    <xf numFmtId="181" fontId="3" fillId="0" borderId="0" xfId="15" applyNumberFormat="1" applyFont="1" applyFill="1" applyBorder="1" applyAlignment="1">
      <alignment/>
    </xf>
    <xf numFmtId="0" fontId="3" fillId="0" borderId="0" xfId="28" applyFont="1" applyFill="1" applyBorder="1" applyAlignment="1">
      <alignment/>
      <protection/>
    </xf>
    <xf numFmtId="181" fontId="3" fillId="0" borderId="22" xfId="15" applyNumberFormat="1" applyFont="1" applyBorder="1" applyAlignment="1">
      <alignment vertical="center" wrapText="1"/>
    </xf>
    <xf numFmtId="182" fontId="3" fillId="0" borderId="5" xfId="0" applyNumberFormat="1" applyFont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/>
    </xf>
    <xf numFmtId="180" fontId="0" fillId="0" borderId="0" xfId="38" applyNumberFormat="1" applyAlignment="1">
      <alignment horizontal="left"/>
    </xf>
    <xf numFmtId="0" fontId="7" fillId="0" borderId="0" xfId="28" applyFont="1" applyAlignment="1">
      <alignment vertical="center"/>
      <protection/>
    </xf>
    <xf numFmtId="0" fontId="7" fillId="0" borderId="0" xfId="28" applyFont="1">
      <alignment/>
      <protection/>
    </xf>
    <xf numFmtId="182" fontId="3" fillId="0" borderId="3" xfId="1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center" textRotation="255" wrapText="1"/>
    </xf>
    <xf numFmtId="0" fontId="10" fillId="0" borderId="31" xfId="0" applyFont="1" applyBorder="1" applyAlignment="1">
      <alignment horizontal="center" textRotation="255" wrapText="1"/>
    </xf>
    <xf numFmtId="0" fontId="6" fillId="0" borderId="0" xfId="28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wrapText="1"/>
    </xf>
  </cellXfs>
  <cellStyles count="25">
    <cellStyle name="Normal" xfId="0"/>
    <cellStyle name="Comma" xfId="15"/>
    <cellStyle name="Comma [0]" xfId="16"/>
    <cellStyle name="Milliers [0]_LFI04" xfId="17"/>
    <cellStyle name="Milliers [0]_plf1" xfId="18"/>
    <cellStyle name="Milliers_LFI04" xfId="19"/>
    <cellStyle name="Milliers_plf1" xfId="20"/>
    <cellStyle name="Currency" xfId="21"/>
    <cellStyle name="Currency [0]" xfId="22"/>
    <cellStyle name="Monétaire [0]_LFI04" xfId="23"/>
    <cellStyle name="Monétaire [0]_plf1" xfId="24"/>
    <cellStyle name="Monétaire_LFI04" xfId="25"/>
    <cellStyle name="Monétaire_plf1" xfId="26"/>
    <cellStyle name="Normal_estim08-04exoMVseuil1,2" xfId="27"/>
    <cellStyle name="Normal_HYPOTHESES" xfId="28"/>
    <cellStyle name="Normal_HYPOTHESES2" xfId="29"/>
    <cellStyle name="Normal_LFI04" xfId="30"/>
    <cellStyle name="Normal_pers12SMIC" xfId="31"/>
    <cellStyle name="Normal_persprelev" xfId="32"/>
    <cellStyle name="Normal_plf1" xfId="33"/>
    <cellStyle name="Normal_prélèv toutes mesures" xfId="34"/>
    <cellStyle name="Normal_seuilparticEtat" xfId="35"/>
    <cellStyle name="Normal_simulation prelev01" xfId="36"/>
    <cellStyle name="Normal_simulation prelev01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782050" y="38290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14</xdr:row>
      <xdr:rowOff>0</xdr:rowOff>
    </xdr:from>
    <xdr:to>
      <xdr:col>5</xdr:col>
      <xdr:colOff>447675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782050" y="8648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58025" y="638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285750</xdr:colOff>
      <xdr:row>9</xdr:row>
      <xdr:rowOff>123825</xdr:rowOff>
    </xdr:from>
    <xdr:to>
      <xdr:col>5</xdr:col>
      <xdr:colOff>476250</xdr:colOff>
      <xdr:row>9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15175" y="4752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0</xdr:rowOff>
    </xdr:from>
    <xdr:to>
      <xdr:col>5</xdr:col>
      <xdr:colOff>485775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6381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0</xdr:rowOff>
    </xdr:from>
    <xdr:to>
      <xdr:col>5</xdr:col>
      <xdr:colOff>485775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6381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0</xdr:rowOff>
    </xdr:from>
    <xdr:to>
      <xdr:col>5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7972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0</xdr:rowOff>
    </xdr:from>
    <xdr:to>
      <xdr:col>5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7972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0</xdr:rowOff>
    </xdr:from>
    <xdr:to>
      <xdr:col>5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7972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13</xdr:row>
      <xdr:rowOff>0</xdr:rowOff>
    </xdr:from>
    <xdr:to>
      <xdr:col>5</xdr:col>
      <xdr:colOff>600075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39075" y="79724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13</xdr:row>
      <xdr:rowOff>0</xdr:rowOff>
    </xdr:from>
    <xdr:to>
      <xdr:col>5</xdr:col>
      <xdr:colOff>600075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39075" y="79724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96300" y="38290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14</xdr:row>
      <xdr:rowOff>0</xdr:rowOff>
    </xdr:from>
    <xdr:to>
      <xdr:col>5</xdr:col>
      <xdr:colOff>447675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96300" y="85820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9</xdr:row>
      <xdr:rowOff>123825</xdr:rowOff>
    </xdr:from>
    <xdr:to>
      <xdr:col>5</xdr:col>
      <xdr:colOff>476250</xdr:colOff>
      <xdr:row>9</xdr:row>
      <xdr:rowOff>381000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819900" y="4752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0" y="638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285750</xdr:colOff>
      <xdr:row>9</xdr:row>
      <xdr:rowOff>123825</xdr:rowOff>
    </xdr:from>
    <xdr:to>
      <xdr:col>5</xdr:col>
      <xdr:colOff>476250</xdr:colOff>
      <xdr:row>9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9900" y="4752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qualit&#233;%2060%20franchise%20MV%201,4%20SM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qualit&#233;%2055%20franchise%20MV%201,4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qualit&#233;%2045%20franchise%20MV%201,5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qualit&#233;%2050%20franchise%20MV%201,4%20SM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qualit&#233;%2040%20franchise%20MV%201,5%20SM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  <sheetDataSet>
      <sheetData sheetId="1">
        <row r="9">
          <cell r="J9">
            <v>3532300.343260209</v>
          </cell>
        </row>
      </sheetData>
      <sheetData sheetId="2">
        <row r="9">
          <cell r="J9">
            <v>8431430.728715789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250.32065323309905</v>
          </cell>
          <cell r="D7">
            <v>110.02132655101917</v>
          </cell>
          <cell r="E7">
            <v>3.5373835586018716</v>
          </cell>
        </row>
        <row r="8">
          <cell r="E8">
            <v>0.9859507054994193</v>
          </cell>
          <cell r="F8">
            <v>10.716534697929887</v>
          </cell>
          <cell r="G8">
            <v>13.249941602873236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24464652.122502122</v>
          </cell>
          <cell r="E31">
            <v>1981650.767605964</v>
          </cell>
          <cell r="F31">
            <v>7412219.6640307205</v>
          </cell>
          <cell r="G31">
            <v>8301431.8369382415</v>
          </cell>
        </row>
      </sheetData>
      <sheetData sheetId="9">
        <row r="9">
          <cell r="T9">
            <v>1754810.070817212</v>
          </cell>
        </row>
        <row r="11">
          <cell r="T11">
            <v>10420428.978767706</v>
          </cell>
        </row>
      </sheetData>
      <sheetData sheetId="11">
        <row r="9">
          <cell r="R9">
            <v>4948509.765934994</v>
          </cell>
        </row>
      </sheetData>
      <sheetData sheetId="12">
        <row r="9">
          <cell r="R9">
            <v>3304315.033899167</v>
          </cell>
        </row>
      </sheetData>
      <sheetData sheetId="14">
        <row r="9">
          <cell r="R9">
            <v>35642984.55936254</v>
          </cell>
        </row>
      </sheetData>
      <sheetData sheetId="16">
        <row r="9">
          <cell r="R9">
            <v>78973476.47109604</v>
          </cell>
        </row>
      </sheetData>
      <sheetData sheetId="17">
        <row r="9">
          <cell r="S9">
            <v>110021326.55101918</v>
          </cell>
        </row>
        <row r="11">
          <cell r="S11">
            <v>250320653.23309904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  <sheetDataSet>
      <sheetData sheetId="1">
        <row r="9">
          <cell r="J9">
            <v>3853418.556283865</v>
          </cell>
        </row>
      </sheetData>
      <sheetData sheetId="2">
        <row r="9">
          <cell r="J9">
            <v>9066675.509646427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269.1804284766887</v>
          </cell>
          <cell r="D7">
            <v>118.31060457883568</v>
          </cell>
          <cell r="E7">
            <v>3.803898758222561</v>
          </cell>
        </row>
        <row r="8">
          <cell r="E8">
            <v>1.0857179551333587</v>
          </cell>
          <cell r="F8">
            <v>11.797444407071255</v>
          </cell>
          <cell r="G8">
            <v>14.491208858596291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27186849.286787637</v>
          </cell>
          <cell r="E31">
            <v>2225058.817200558</v>
          </cell>
          <cell r="F31">
            <v>8236980.920931842</v>
          </cell>
          <cell r="G31">
            <v>9159093.684449282</v>
          </cell>
        </row>
      </sheetData>
      <sheetData sheetId="9">
        <row r="9">
          <cell r="T9">
            <v>1890841.8592526554</v>
          </cell>
        </row>
        <row r="11">
          <cell r="T11">
            <v>11228214.170920242</v>
          </cell>
        </row>
      </sheetData>
      <sheetData sheetId="11">
        <row r="9">
          <cell r="R9">
            <v>5332115.17414701</v>
          </cell>
        </row>
      </sheetData>
      <sheetData sheetId="12">
        <row r="9">
          <cell r="R9">
            <v>3560463.486139413</v>
          </cell>
        </row>
      </sheetData>
      <sheetData sheetId="14">
        <row r="9">
          <cell r="R9">
            <v>38883255.88294095</v>
          </cell>
        </row>
      </sheetData>
      <sheetData sheetId="16">
        <row r="9">
          <cell r="R9">
            <v>84923532.9175485</v>
          </cell>
        </row>
      </sheetData>
      <sheetData sheetId="17">
        <row r="9">
          <cell r="S9">
            <v>118310604.57883568</v>
          </cell>
        </row>
        <row r="11">
          <cell r="S11">
            <v>269180428.4766887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1">
        <row r="9">
          <cell r="J9">
            <v>10279415.545968562</v>
          </cell>
        </row>
      </sheetData>
      <sheetData sheetId="2">
        <row r="9">
          <cell r="J9">
            <v>4736493.642098918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305.18545394172344</v>
          </cell>
          <cell r="D7">
            <v>134.1355899046672</v>
          </cell>
          <cell r="E7">
            <v>4.312700502952966</v>
          </cell>
        </row>
        <row r="8">
          <cell r="E8">
            <v>1.1200634706953827</v>
          </cell>
          <cell r="F8">
            <v>12.15938061505117</v>
          </cell>
          <cell r="G8">
            <v>15.366469058350692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6">
        <row r="31">
          <cell r="B31">
            <v>28846410.893625822</v>
          </cell>
          <cell r="E31">
            <v>2220076.91306533</v>
          </cell>
          <cell r="F31">
            <v>8739711.652320001</v>
          </cell>
          <cell r="G31">
            <v>10245206.380690288</v>
          </cell>
        </row>
      </sheetData>
      <sheetData sheetId="8">
        <row r="9">
          <cell r="T9">
            <v>1859353.682949337</v>
          </cell>
        </row>
        <row r="11">
          <cell r="T11">
            <v>10783871.630474662</v>
          </cell>
        </row>
      </sheetData>
      <sheetData sheetId="10">
        <row r="9">
          <cell r="R9">
            <v>5121262.677660404</v>
          </cell>
        </row>
      </sheetData>
      <sheetData sheetId="11">
        <row r="9">
          <cell r="R9">
            <v>3419668.9627311686</v>
          </cell>
        </row>
      </sheetData>
      <sheetData sheetId="14">
        <row r="9">
          <cell r="R9">
            <v>47794002.02278159</v>
          </cell>
        </row>
      </sheetData>
      <sheetData sheetId="15">
        <row r="9">
          <cell r="R9">
            <v>96282731.5880486</v>
          </cell>
        </row>
      </sheetData>
      <sheetData sheetId="16">
        <row r="9">
          <cell r="S9">
            <v>134135589.9046672</v>
          </cell>
        </row>
        <row r="11">
          <cell r="S11">
            <v>305185453.94172347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  <sheetDataSet>
      <sheetData sheetId="1">
        <row r="9">
          <cell r="J9">
            <v>4265051.443403521</v>
          </cell>
        </row>
      </sheetData>
      <sheetData sheetId="2">
        <row r="9">
          <cell r="J9">
            <v>9667370.180876186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286.3256786981339</v>
          </cell>
          <cell r="D7">
            <v>125.8463118768507</v>
          </cell>
          <cell r="E7">
            <v>4.046185303332279</v>
          </cell>
        </row>
        <row r="8">
          <cell r="E8">
            <v>1.1757185662580167</v>
          </cell>
          <cell r="F8">
            <v>12.77137396043401</v>
          </cell>
          <cell r="G8">
            <v>15.570801942649423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29725038.569693115</v>
          </cell>
          <cell r="E31">
            <v>2461371.8488112194</v>
          </cell>
          <cell r="F31">
            <v>9005991.712502401</v>
          </cell>
          <cell r="G31">
            <v>9931802.441932801</v>
          </cell>
        </row>
      </sheetData>
      <sheetData sheetId="9">
        <row r="9">
          <cell r="T9">
            <v>1999667.2900010094</v>
          </cell>
        </row>
        <row r="11">
          <cell r="T11">
            <v>11874442.32464227</v>
          </cell>
        </row>
      </sheetData>
      <sheetData sheetId="11">
        <row r="9">
          <cell r="R9">
            <v>5638999.500716621</v>
          </cell>
        </row>
      </sheetData>
      <sheetData sheetId="12">
        <row r="9">
          <cell r="R9">
            <v>3765382.247931609</v>
          </cell>
        </row>
      </sheetData>
      <sheetData sheetId="14">
        <row r="9">
          <cell r="R9">
            <v>43036873.41654798</v>
          </cell>
        </row>
      </sheetData>
      <sheetData sheetId="16">
        <row r="9">
          <cell r="R9">
            <v>90332675.14159617</v>
          </cell>
        </row>
      </sheetData>
      <sheetData sheetId="17">
        <row r="9">
          <cell r="S9">
            <v>125846311.87685071</v>
          </cell>
        </row>
        <row r="11">
          <cell r="S11">
            <v>286325678.6981339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0 stock-flux-franchMV-1,5SMIC"/>
      <sheetName val="40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1">
        <row r="9">
          <cell r="J9">
            <v>10856910.801360054</v>
          </cell>
        </row>
      </sheetData>
      <sheetData sheetId="2">
        <row r="9">
          <cell r="J9">
            <v>5298450.514890314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322.3307041631686</v>
          </cell>
          <cell r="D7">
            <v>141.67129720268224</v>
          </cell>
          <cell r="E7">
            <v>4.554987048062684</v>
          </cell>
        </row>
        <row r="8">
          <cell r="E8">
            <v>1.199275880292157</v>
          </cell>
          <cell r="F8">
            <v>13.017266479026459</v>
          </cell>
          <cell r="G8">
            <v>16.38054174167246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6">
        <row r="31">
          <cell r="B31">
            <v>31030934.564181987</v>
          </cell>
          <cell r="E31">
            <v>2408157.992801969</v>
          </cell>
          <cell r="F31">
            <v>9401565.53754</v>
          </cell>
          <cell r="G31">
            <v>10965703.49650286</v>
          </cell>
        </row>
      </sheetData>
      <sheetData sheetId="8">
        <row r="9">
          <cell r="T9">
            <v>1965940.83674898</v>
          </cell>
        </row>
        <row r="11">
          <cell r="T11">
            <v>11402055.354514612</v>
          </cell>
        </row>
      </sheetData>
      <sheetData sheetId="10">
        <row r="9">
          <cell r="R9">
            <v>5414838.245169599</v>
          </cell>
        </row>
      </sheetData>
      <sheetData sheetId="11">
        <row r="9">
          <cell r="R9">
            <v>3615700.941486459</v>
          </cell>
        </row>
      </sheetData>
      <sheetData sheetId="14">
        <row r="9">
          <cell r="R9">
            <v>53464476.839043796</v>
          </cell>
        </row>
      </sheetData>
      <sheetData sheetId="15">
        <row r="9">
          <cell r="R9">
            <v>101691873.81209628</v>
          </cell>
        </row>
      </sheetData>
      <sheetData sheetId="16">
        <row r="9">
          <cell r="S9">
            <v>141671297.20268223</v>
          </cell>
        </row>
        <row r="11">
          <cell r="S11">
            <v>322330704.1631686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11.421875" style="73" customWidth="1"/>
    <col min="2" max="2" width="43.00390625" style="73" customWidth="1"/>
    <col min="3" max="3" width="23.7109375" style="73" customWidth="1"/>
    <col min="4" max="4" width="25.7109375" style="73" customWidth="1"/>
    <col min="5" max="5" width="24.421875" style="73" customWidth="1"/>
    <col min="6" max="6" width="24.140625" style="73" customWidth="1"/>
    <col min="7" max="7" width="23.00390625" style="74" customWidth="1"/>
    <col min="8" max="16384" width="9.8515625" style="73" customWidth="1"/>
  </cols>
  <sheetData>
    <row r="1" spans="1:7" ht="43.5" customHeight="1" thickBot="1">
      <c r="A1" s="134" t="s">
        <v>64</v>
      </c>
      <c r="B1" s="135"/>
      <c r="C1" s="76" t="s">
        <v>38</v>
      </c>
      <c r="D1" s="16" t="s">
        <v>40</v>
      </c>
      <c r="E1" s="15" t="s">
        <v>33</v>
      </c>
      <c r="F1" s="76" t="s">
        <v>41</v>
      </c>
      <c r="G1" s="76" t="s">
        <v>32</v>
      </c>
    </row>
    <row r="2" spans="1:7" ht="29.25" customHeight="1" thickBot="1">
      <c r="A2" s="132" t="s">
        <v>46</v>
      </c>
      <c r="B2" s="133"/>
      <c r="C2" s="14" t="s">
        <v>9</v>
      </c>
      <c r="D2" s="77" t="s">
        <v>10</v>
      </c>
      <c r="E2" s="14" t="s">
        <v>11</v>
      </c>
      <c r="F2" s="14" t="s">
        <v>12</v>
      </c>
      <c r="G2" s="14" t="s">
        <v>39</v>
      </c>
    </row>
    <row r="3" spans="1:7" ht="65.25" customHeight="1" thickBot="1">
      <c r="A3" s="1">
        <v>2004</v>
      </c>
      <c r="B3" s="2"/>
      <c r="C3" s="3" t="s">
        <v>42</v>
      </c>
      <c r="D3" s="78" t="s">
        <v>43</v>
      </c>
      <c r="E3" s="3" t="s">
        <v>45</v>
      </c>
      <c r="F3" s="23" t="s">
        <v>44</v>
      </c>
      <c r="G3" s="23" t="s">
        <v>34</v>
      </c>
    </row>
    <row r="4" spans="1:7" ht="56.25" customHeight="1" thickBot="1">
      <c r="A4" s="6" t="s">
        <v>0</v>
      </c>
      <c r="B4" s="7" t="s">
        <v>1</v>
      </c>
      <c r="C4" s="4">
        <f>'Annexe 17 -H 1 '!H8</f>
        <v>375.84309441469605</v>
      </c>
      <c r="D4" s="79">
        <f>'Annexe 17 - H 2'!H8</f>
        <v>404.2150258796772</v>
      </c>
      <c r="E4" s="4">
        <f>'Annexe 17 - H 3 '!H8</f>
        <v>430.1505975025966</v>
      </c>
      <c r="F4" s="4">
        <f>'Annexe 17 - H 4'!H8</f>
        <v>458.6496535374111</v>
      </c>
      <c r="G4" s="82">
        <f>'Annexe 17 - H 5'!H8</f>
        <v>484.7123497301639</v>
      </c>
    </row>
    <row r="5" spans="1:7" ht="51" customHeight="1" thickBot="1">
      <c r="A5" s="8" t="s">
        <v>2</v>
      </c>
      <c r="B5" s="9" t="s">
        <v>8</v>
      </c>
      <c r="C5" s="4">
        <f>'Annexe 17 -H 1 '!H9</f>
        <v>42.004140275272746</v>
      </c>
      <c r="D5" s="79">
        <f>'Annexe 17 - H 2'!H9</f>
        <v>46.24554741586121</v>
      </c>
      <c r="E5" s="4">
        <f>'Annexe 17 - H 3 '!H9</f>
        <v>50.07045618971397</v>
      </c>
      <c r="F5" s="4">
        <f>'Annexe 17 - H 4'!H9</f>
        <v>47.58236155815072</v>
      </c>
      <c r="G5" s="82">
        <f>'Annexe 17 - H 5'!H9</f>
        <v>50.9461454506096</v>
      </c>
    </row>
    <row r="6" spans="1:7" ht="56.25" customHeight="1" thickBot="1">
      <c r="A6" s="8" t="s">
        <v>3</v>
      </c>
      <c r="B6" s="10" t="s">
        <v>4</v>
      </c>
      <c r="C6" s="4">
        <f>'Annexe 17 -H 1 '!H10</f>
        <v>333.8389541394233</v>
      </c>
      <c r="D6" s="79">
        <f>'Annexe 17 - H 2'!H10</f>
        <v>357.969478463816</v>
      </c>
      <c r="E6" s="4">
        <f>'Annexe 17 - H 3 '!H10</f>
        <v>380.0801413128826</v>
      </c>
      <c r="F6" s="4">
        <f>'Annexe 17 - H 4'!H10</f>
        <v>411.06729197926035</v>
      </c>
      <c r="G6" s="82">
        <f>'Annexe 17 - H 5'!H10</f>
        <v>433.76620427955436</v>
      </c>
    </row>
    <row r="7" spans="1:7" ht="56.25" customHeight="1" thickBot="1">
      <c r="A7" s="111" t="s">
        <v>28</v>
      </c>
      <c r="B7" s="61" t="s">
        <v>29</v>
      </c>
      <c r="C7" s="131">
        <f>'Annexe 17 -H 1 '!$H$11</f>
        <v>320.8312264039863</v>
      </c>
      <c r="D7" s="131">
        <f>'Annexe 17 -H 1 '!$H$11</f>
        <v>320.8312264039863</v>
      </c>
      <c r="E7" s="131">
        <f>'Annexe 17 -H 1 '!$H$11</f>
        <v>320.8312264039863</v>
      </c>
      <c r="F7" s="131">
        <f>'Annexe 17 -H 1 '!$H$11</f>
        <v>320.8312264039863</v>
      </c>
      <c r="G7" s="131">
        <f>'Annexe 17 -H 1 '!$H$11</f>
        <v>320.8312264039863</v>
      </c>
    </row>
    <row r="8" spans="1:7" ht="57.75" customHeight="1" thickBot="1">
      <c r="A8" s="11" t="s">
        <v>5</v>
      </c>
      <c r="B8" s="12" t="s">
        <v>6</v>
      </c>
      <c r="C8" s="4">
        <f>C6-C7</f>
        <v>13.007727735437015</v>
      </c>
      <c r="D8" s="4">
        <f>D6-D7</f>
        <v>37.13825205982971</v>
      </c>
      <c r="E8" s="4">
        <f>E6-E7</f>
        <v>59.24891490889627</v>
      </c>
      <c r="F8" s="4">
        <f>F6-F7</f>
        <v>90.23606557527404</v>
      </c>
      <c r="G8" s="4">
        <f>G6-G7</f>
        <v>112.93497787556805</v>
      </c>
    </row>
    <row r="9" spans="1:7" ht="47.25" customHeight="1" thickBot="1">
      <c r="A9" s="75"/>
      <c r="B9" s="80" t="s">
        <v>7</v>
      </c>
      <c r="C9" s="81">
        <f>'Annexe 17 -H 1 '!C12+'Annexe 17 -H 1 '!E12+'Annexe 17 -H 1 '!F12+'Annexe 17 -H 1 '!G12</f>
        <v>55.289757658101145</v>
      </c>
      <c r="D9" s="83">
        <f>'Annexe 17 - H 2'!C12+'Annexe 17 - H 2'!E12+'Annexe 17 - H 2'!F12+'Annexe 17 - H 2'!G12</f>
        <v>71.51044379270733</v>
      </c>
      <c r="E9" s="81">
        <f>'Annexe 17 - H 3 '!C12+'Annexe 17 - H 3 '!E12+'Annexe 17 - H 3 '!F12+'Annexe 17 - H 3 '!G12</f>
        <v>86.43053780611794</v>
      </c>
      <c r="F9" s="81">
        <f>'Annexe 17 - H 4'!C12+'Annexe 17 - H 4'!E12+'Annexe 17 - H 4'!F12+'Annexe 17 - H 4'!G12</f>
        <v>108.74680190188161</v>
      </c>
      <c r="G9" s="84">
        <f>'Annexe 17 - H 5'!C12+'Annexe 17 - H 5'!E12+'Annexe 17 - H 5'!F12+'Annexe 17 - H 5'!G12</f>
        <v>124.2046751376968</v>
      </c>
    </row>
    <row r="10" spans="1:7" ht="82.5" customHeight="1">
      <c r="A10" s="136" t="s">
        <v>35</v>
      </c>
      <c r="B10" s="91" t="s">
        <v>47</v>
      </c>
      <c r="C10" s="93">
        <f>C8-(-10.9)</f>
        <v>23.907727735437014</v>
      </c>
      <c r="D10" s="85">
        <f>D8-(-10.9)</f>
        <v>48.03825205982971</v>
      </c>
      <c r="E10" s="85">
        <f>E8-(-10.9)</f>
        <v>70.14891490889627</v>
      </c>
      <c r="F10" s="85">
        <f>F8-(-10.9)</f>
        <v>101.13606557527405</v>
      </c>
      <c r="G10" s="86">
        <f>G8-(-10.9)</f>
        <v>123.83497787556806</v>
      </c>
    </row>
    <row r="11" spans="1:7" ht="91.5" customHeight="1" thickBot="1">
      <c r="A11" s="137"/>
      <c r="B11" s="92" t="s">
        <v>48</v>
      </c>
      <c r="C11" s="94">
        <f>C9-38.8</f>
        <v>16.489757658101148</v>
      </c>
      <c r="D11" s="87">
        <f>D9-38.8</f>
        <v>32.71044379270734</v>
      </c>
      <c r="E11" s="87">
        <f>E9-38.8</f>
        <v>47.63053780611794</v>
      </c>
      <c r="F11" s="87">
        <f>F9-38.8</f>
        <v>69.94680190188161</v>
      </c>
      <c r="G11" s="88">
        <f>G9-38.8</f>
        <v>85.4046751376968</v>
      </c>
    </row>
    <row r="12" ht="15.75">
      <c r="B12" s="13"/>
    </row>
    <row r="13" spans="2:7" ht="12.75">
      <c r="B13" s="13"/>
      <c r="C13" s="89"/>
      <c r="D13" s="89"/>
      <c r="E13" s="89"/>
      <c r="F13" s="89"/>
      <c r="G13" s="89"/>
    </row>
    <row r="14" ht="15.75">
      <c r="B14" s="13"/>
    </row>
  </sheetData>
  <mergeCells count="3">
    <mergeCell ref="A2:B2"/>
    <mergeCell ref="A1:B1"/>
    <mergeCell ref="A10:A1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14">
    <pageSetUpPr fitToPage="1"/>
  </sheetPr>
  <dimension ref="A1:T12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12.8515625" style="1" customWidth="1"/>
    <col min="2" max="2" width="44.00390625" style="18" customWidth="1"/>
    <col min="3" max="3" width="17.7109375" style="18" customWidth="1"/>
    <col min="4" max="4" width="13.57421875" style="18" customWidth="1"/>
    <col min="5" max="5" width="14.28125" style="18" customWidth="1"/>
    <col min="6" max="6" width="14.7109375" style="18" customWidth="1"/>
    <col min="7" max="7" width="13.28125" style="18" customWidth="1"/>
    <col min="8" max="8" width="14.140625" style="18" customWidth="1"/>
    <col min="9" max="9" width="8.421875" style="18" bestFit="1" customWidth="1"/>
    <col min="10" max="16384" width="8.421875" style="18" customWidth="1"/>
  </cols>
  <sheetData>
    <row r="1" ht="18.75">
      <c r="A1" s="97" t="s">
        <v>49</v>
      </c>
    </row>
    <row r="2" ht="16.5" thickBot="1">
      <c r="A2" s="1" t="s">
        <v>30</v>
      </c>
    </row>
    <row r="3" spans="1:20" ht="50.25" customHeight="1" thickBot="1">
      <c r="A3" s="1" t="s">
        <v>61</v>
      </c>
      <c r="B3" s="2"/>
      <c r="C3" s="23" t="s">
        <v>16</v>
      </c>
      <c r="D3" s="23" t="s">
        <v>13</v>
      </c>
      <c r="E3" s="23" t="s">
        <v>17</v>
      </c>
      <c r="F3" s="23" t="s">
        <v>18</v>
      </c>
      <c r="G3" s="23" t="s">
        <v>14</v>
      </c>
      <c r="H3" s="98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36" customHeight="1">
      <c r="A4" s="100" t="s">
        <v>20</v>
      </c>
      <c r="B4" s="101" t="s">
        <v>21</v>
      </c>
      <c r="C4" s="28">
        <f>'[4]fiche budgétaire'!B27</f>
        <v>184093.460208</v>
      </c>
      <c r="D4" s="28">
        <f>'[4]fiche budgétaire'!D27</f>
        <v>66437.865</v>
      </c>
      <c r="E4" s="28">
        <f>'[4]fiche budgétaire'!E27</f>
        <v>5203</v>
      </c>
      <c r="F4" s="28">
        <f>'[4]fiche budgétaire'!F27</f>
        <v>77000</v>
      </c>
      <c r="G4" s="28">
        <f>'[4]fiche budgétaire'!G27</f>
        <v>44000</v>
      </c>
      <c r="H4" s="28">
        <f>SUM(C4:G4)</f>
        <v>376734.325208</v>
      </c>
      <c r="I4" s="102"/>
      <c r="J4" s="102"/>
      <c r="K4" s="102"/>
      <c r="L4" s="102"/>
      <c r="M4" s="102"/>
      <c r="N4" s="102"/>
      <c r="O4" s="99"/>
      <c r="P4" s="99"/>
      <c r="Q4" s="99"/>
      <c r="R4" s="99"/>
      <c r="S4" s="99"/>
      <c r="T4" s="99"/>
    </row>
    <row r="5" spans="1:20" ht="45.75" customHeight="1" thickBot="1">
      <c r="A5" s="103" t="s">
        <v>22</v>
      </c>
      <c r="B5" s="104" t="s">
        <v>23</v>
      </c>
      <c r="C5" s="39">
        <f>'[4]fiche budgétaire'!B28</f>
        <v>176015.650104</v>
      </c>
      <c r="D5" s="39">
        <f>'[4]fiche budgétaire'!D28</f>
        <v>66076.4325</v>
      </c>
      <c r="E5" s="39">
        <f>'[4]fiche budgétaire'!E28</f>
        <v>5203</v>
      </c>
      <c r="F5" s="39">
        <f>'[4]fiche budgétaire'!F28</f>
        <v>73500</v>
      </c>
      <c r="G5" s="39">
        <f>'[4]fiche budgétaire'!G28</f>
        <v>42000</v>
      </c>
      <c r="H5" s="39">
        <f>SUM(C5:G5)</f>
        <v>362795.082604</v>
      </c>
      <c r="I5" s="102"/>
      <c r="J5" s="102"/>
      <c r="K5" s="102"/>
      <c r="L5" s="102"/>
      <c r="M5" s="102"/>
      <c r="N5" s="102"/>
      <c r="O5" s="99"/>
      <c r="P5" s="99"/>
      <c r="Q5" s="99"/>
      <c r="R5" s="99"/>
      <c r="S5" s="99"/>
      <c r="T5" s="99"/>
    </row>
    <row r="6" spans="1:20" ht="57.75" customHeight="1" thickBot="1">
      <c r="A6" s="105" t="s">
        <v>50</v>
      </c>
      <c r="B6" s="106" t="s">
        <v>27</v>
      </c>
      <c r="C6" s="107">
        <f>C7*1000000/C5/12</f>
        <v>135.55881656401786</v>
      </c>
      <c r="D6" s="107">
        <f>D7*1000000/D5/12</f>
        <v>158.71305788798793</v>
      </c>
      <c r="E6" s="107">
        <f>E7*1000000/E5/12</f>
        <v>64.80532550663526</v>
      </c>
      <c r="F6" s="107">
        <f>F7*1000000/F5/12</f>
        <v>102.41799902675302</v>
      </c>
      <c r="G6" s="107">
        <f>G7*1000000/G5/12</f>
        <v>85.39062185823012</v>
      </c>
      <c r="H6" s="108"/>
      <c r="I6" s="102"/>
      <c r="J6" s="102"/>
      <c r="K6" s="102"/>
      <c r="L6" s="102"/>
      <c r="M6" s="102"/>
      <c r="N6" s="102"/>
      <c r="O6" s="99"/>
      <c r="P6" s="99"/>
      <c r="Q6" s="99"/>
      <c r="R6" s="99"/>
      <c r="S6" s="99"/>
      <c r="T6" s="99"/>
    </row>
    <row r="7" spans="1:20" ht="51" customHeight="1" thickBot="1">
      <c r="A7" s="105" t="s">
        <v>0</v>
      </c>
      <c r="B7" s="109" t="s">
        <v>1</v>
      </c>
      <c r="C7" s="110">
        <f>'[4]TE-CEet TPSA- 167€'!S11/1000000</f>
        <v>286.3256786981339</v>
      </c>
      <c r="D7" s="110">
        <f>'[4]TE-CEet TPSA- 167€'!S9/1000000</f>
        <v>125.8463118768507</v>
      </c>
      <c r="E7" s="110">
        <f>C7*E4/C4/2</f>
        <v>4.046185303332279</v>
      </c>
      <c r="F7" s="110">
        <f>'[4]Gér hosp-167'!R9/1000000</f>
        <v>90.33267514159617</v>
      </c>
      <c r="G7" s="110">
        <f>'[4]Grce priv-abattement'!R9/1000000</f>
        <v>43.03687341654798</v>
      </c>
      <c r="H7" s="110">
        <f>SUM(C7:G7)</f>
        <v>549.587724436461</v>
      </c>
      <c r="I7" s="102"/>
      <c r="J7" s="102"/>
      <c r="K7" s="102"/>
      <c r="L7" s="102"/>
      <c r="M7" s="102"/>
      <c r="N7" s="102"/>
      <c r="O7" s="99"/>
      <c r="P7" s="99"/>
      <c r="Q7" s="99"/>
      <c r="R7" s="99"/>
      <c r="S7" s="99"/>
      <c r="T7" s="99"/>
    </row>
    <row r="8" spans="1:20" ht="49.5" customHeight="1">
      <c r="A8" s="111" t="s">
        <v>2</v>
      </c>
      <c r="B8" s="125" t="s">
        <v>51</v>
      </c>
      <c r="C8" s="112">
        <f>('[4]franchise MV seuil 1,4 SMIC'!B31+'[4]prél TE-TPSA au dessus 1,4SMIC'!T11)/1000000</f>
        <v>41.599480894335386</v>
      </c>
      <c r="D8" s="112">
        <f>('[4]franchise MV seuil 1,4 SMIC'!E31+'[4]prél TE-TPSA au dessus 1,4SMIC'!T9)/1000000</f>
        <v>4.461039138812229</v>
      </c>
      <c r="E8" s="112">
        <f>C8*E4/C4</f>
        <v>1.1757185662580167</v>
      </c>
      <c r="F8" s="112">
        <f>('[4]Gér hosp-prél 1,4 SMIC-147'!R9+'[4]franchise MV seuil 1,4 SMIC'!F31)/1000000</f>
        <v>12.77137396043401</v>
      </c>
      <c r="G8" s="112">
        <f>('[4]Grce priv-prell 1,4 SMIC-147'!R9+'[4]franchise MV seuil 1,4 SMIC'!G31)/1000000</f>
        <v>15.570801942649423</v>
      </c>
      <c r="H8" s="112">
        <f>SUM(C8:G8)</f>
        <v>75.57841450248907</v>
      </c>
      <c r="I8" s="102"/>
      <c r="J8" s="102"/>
      <c r="K8" s="102"/>
      <c r="L8" s="102"/>
      <c r="M8" s="102"/>
      <c r="N8" s="102"/>
      <c r="O8" s="99"/>
      <c r="P8" s="99"/>
      <c r="Q8" s="99"/>
      <c r="R8" s="99"/>
      <c r="S8" s="99"/>
      <c r="T8" s="99"/>
    </row>
    <row r="9" spans="1:20" ht="39" customHeight="1">
      <c r="A9" s="113" t="s">
        <v>3</v>
      </c>
      <c r="B9" s="114" t="s">
        <v>4</v>
      </c>
      <c r="C9" s="115">
        <f aca="true" t="shared" si="0" ref="C9:H9">C7-C8</f>
        <v>244.72619780379853</v>
      </c>
      <c r="D9" s="115">
        <f t="shared" si="0"/>
        <v>121.38527273803848</v>
      </c>
      <c r="E9" s="115">
        <f t="shared" si="0"/>
        <v>2.870466737074262</v>
      </c>
      <c r="F9" s="115">
        <f t="shared" si="0"/>
        <v>77.56130118116216</v>
      </c>
      <c r="G9" s="115">
        <f t="shared" si="0"/>
        <v>27.466071473898552</v>
      </c>
      <c r="H9" s="115">
        <f t="shared" si="0"/>
        <v>474.00930993397196</v>
      </c>
      <c r="I9" s="102"/>
      <c r="J9" s="102"/>
      <c r="K9" s="102"/>
      <c r="L9" s="102"/>
      <c r="M9" s="102"/>
      <c r="N9" s="102"/>
      <c r="O9" s="99"/>
      <c r="P9" s="99"/>
      <c r="Q9" s="99"/>
      <c r="R9" s="99"/>
      <c r="S9" s="99"/>
      <c r="T9" s="99"/>
    </row>
    <row r="10" spans="1:20" s="1" customFormat="1" ht="47.25" customHeight="1">
      <c r="A10" s="113" t="s">
        <v>28</v>
      </c>
      <c r="B10" s="61" t="s">
        <v>29</v>
      </c>
      <c r="C10" s="116">
        <f>'[4]fiche budgétaire'!B34/1000000</f>
        <v>167.06162164835968</v>
      </c>
      <c r="D10" s="116">
        <f>'[4]fiche budgétaire'!D34/1000000</f>
        <v>148.56689563526012</v>
      </c>
      <c r="E10" s="116"/>
      <c r="F10" s="116">
        <f>'[4]fiche budgétaire'!F34/1000000</f>
        <v>52.02709120366538</v>
      </c>
      <c r="G10" s="116"/>
      <c r="H10" s="116">
        <f>SUM(C10:G10)</f>
        <v>367.6556084872851</v>
      </c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</row>
    <row r="11" spans="1:20" ht="51" customHeight="1" thickBot="1">
      <c r="A11" s="103" t="s">
        <v>5</v>
      </c>
      <c r="B11" s="119" t="s">
        <v>6</v>
      </c>
      <c r="C11" s="69">
        <f>C7-C10-C8</f>
        <v>77.66457615543885</v>
      </c>
      <c r="D11" s="69">
        <f>D7-D10-D8</f>
        <v>-27.181622897221647</v>
      </c>
      <c r="E11" s="69">
        <f>E7-E10-E8</f>
        <v>2.870466737074262</v>
      </c>
      <c r="F11" s="69">
        <f>F7-F10-F8</f>
        <v>25.53420997749678</v>
      </c>
      <c r="G11" s="69">
        <f>G7-G10-G8</f>
        <v>27.466071473898552</v>
      </c>
      <c r="H11" s="69">
        <f>SUM(C11:G11)</f>
        <v>106.3537014466868</v>
      </c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</row>
    <row r="12" spans="1:20" s="124" customFormat="1" ht="39.75" customHeight="1">
      <c r="A12" s="120"/>
      <c r="B12" s="71"/>
      <c r="C12" s="72"/>
      <c r="D12" s="72"/>
      <c r="E12" s="72"/>
      <c r="F12" s="72"/>
      <c r="G12" s="72"/>
      <c r="H12" s="121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12">
    <pageSetUpPr fitToPage="1"/>
  </sheetPr>
  <dimension ref="A1:T12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9.8515625" style="1" customWidth="1"/>
    <col min="2" max="2" width="44.00390625" style="18" customWidth="1"/>
    <col min="3" max="3" width="17.7109375" style="18" customWidth="1"/>
    <col min="4" max="4" width="13.57421875" style="18" customWidth="1"/>
    <col min="5" max="5" width="14.28125" style="18" customWidth="1"/>
    <col min="6" max="6" width="14.7109375" style="18" customWidth="1"/>
    <col min="7" max="7" width="13.28125" style="18" customWidth="1"/>
    <col min="8" max="8" width="14.140625" style="18" customWidth="1"/>
    <col min="9" max="9" width="9.8515625" style="18" bestFit="1" customWidth="1"/>
    <col min="10" max="16384" width="9.8515625" style="18" customWidth="1"/>
  </cols>
  <sheetData>
    <row r="1" ht="18.75">
      <c r="A1" s="97" t="s">
        <v>49</v>
      </c>
    </row>
    <row r="2" ht="16.5" thickBot="1">
      <c r="A2" s="1" t="s">
        <v>56</v>
      </c>
    </row>
    <row r="3" spans="1:20" ht="50.25" customHeight="1" thickBot="1">
      <c r="A3" s="129" t="s">
        <v>62</v>
      </c>
      <c r="B3" s="2"/>
      <c r="C3" s="23" t="s">
        <v>16</v>
      </c>
      <c r="D3" s="23" t="s">
        <v>13</v>
      </c>
      <c r="E3" s="23" t="s">
        <v>17</v>
      </c>
      <c r="F3" s="23" t="s">
        <v>18</v>
      </c>
      <c r="G3" s="23" t="s">
        <v>14</v>
      </c>
      <c r="H3" s="98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36" customHeight="1">
      <c r="A4" s="100" t="s">
        <v>20</v>
      </c>
      <c r="B4" s="101" t="s">
        <v>21</v>
      </c>
      <c r="C4" s="28">
        <f>'[3]fiche budgétaire'!B27</f>
        <v>184093.460208</v>
      </c>
      <c r="D4" s="28">
        <f>'[3]fiche budgétaire'!D27</f>
        <v>66437.865</v>
      </c>
      <c r="E4" s="28">
        <f>'[3]fiche budgétaire'!E27</f>
        <v>5203</v>
      </c>
      <c r="F4" s="28">
        <f>'[3]fiche budgétaire'!F27</f>
        <v>77000</v>
      </c>
      <c r="G4" s="28">
        <f>'[3]fiche budgétaire'!G27</f>
        <v>44000</v>
      </c>
      <c r="H4" s="28">
        <f>SUM(C4:G4)</f>
        <v>376734.325208</v>
      </c>
      <c r="I4" s="102"/>
      <c r="J4" s="102"/>
      <c r="K4" s="102"/>
      <c r="L4" s="102"/>
      <c r="M4" s="102"/>
      <c r="N4" s="102"/>
      <c r="O4" s="99"/>
      <c r="P4" s="99"/>
      <c r="Q4" s="99"/>
      <c r="R4" s="99"/>
      <c r="S4" s="99"/>
      <c r="T4" s="99"/>
    </row>
    <row r="5" spans="1:20" ht="45.75" customHeight="1" thickBot="1">
      <c r="A5" s="103" t="s">
        <v>22</v>
      </c>
      <c r="B5" s="104" t="s">
        <v>23</v>
      </c>
      <c r="C5" s="39">
        <f>'[3]fiche budgétaire'!B28</f>
        <v>176015.650104</v>
      </c>
      <c r="D5" s="39">
        <f>'[3]fiche budgétaire'!D28</f>
        <v>66076.4325</v>
      </c>
      <c r="E5" s="39">
        <f>'[3]fiche budgétaire'!E28</f>
        <v>5203</v>
      </c>
      <c r="F5" s="39">
        <f>'[3]fiche budgétaire'!F28</f>
        <v>73500</v>
      </c>
      <c r="G5" s="39">
        <f>'[3]fiche budgétaire'!G28</f>
        <v>42000</v>
      </c>
      <c r="H5" s="39">
        <f>SUM(C5:G5)</f>
        <v>362795.082604</v>
      </c>
      <c r="I5" s="102"/>
      <c r="J5" s="102"/>
      <c r="K5" s="102"/>
      <c r="L5" s="102"/>
      <c r="M5" s="102"/>
      <c r="N5" s="102"/>
      <c r="O5" s="99"/>
      <c r="P5" s="99"/>
      <c r="Q5" s="99"/>
      <c r="R5" s="99"/>
      <c r="S5" s="99"/>
      <c r="T5" s="99"/>
    </row>
    <row r="6" spans="1:20" ht="57.75" customHeight="1" thickBot="1">
      <c r="A6" s="105" t="s">
        <v>50</v>
      </c>
      <c r="B6" s="106" t="s">
        <v>27</v>
      </c>
      <c r="C6" s="107">
        <f>C7*1000000/C5/12</f>
        <v>144.48784040955195</v>
      </c>
      <c r="D6" s="107">
        <f>D7*1000000/D5/12</f>
        <v>169.16721140156793</v>
      </c>
      <c r="E6" s="107">
        <f>E7*1000000/E5/12</f>
        <v>69.0739397615633</v>
      </c>
      <c r="F6" s="107">
        <f>(F7*1000000/F5/12)</f>
        <v>109.16409477103018</v>
      </c>
      <c r="G6" s="107">
        <f>G7*1000000/G5/12</f>
        <v>94.82936909282061</v>
      </c>
      <c r="H6" s="108"/>
      <c r="I6" s="102"/>
      <c r="J6" s="102"/>
      <c r="K6" s="102"/>
      <c r="L6" s="102"/>
      <c r="M6" s="102"/>
      <c r="N6" s="102"/>
      <c r="O6" s="99"/>
      <c r="P6" s="99"/>
      <c r="Q6" s="99"/>
      <c r="R6" s="99"/>
      <c r="S6" s="99"/>
      <c r="T6" s="99"/>
    </row>
    <row r="7" spans="1:20" ht="51" customHeight="1" thickBot="1">
      <c r="A7" s="105" t="s">
        <v>0</v>
      </c>
      <c r="B7" s="109" t="s">
        <v>1</v>
      </c>
      <c r="C7" s="110">
        <f>'[3]TE-CEet TPSA- 188€'!S11/1000000</f>
        <v>305.18545394172344</v>
      </c>
      <c r="D7" s="110">
        <f>'[3]TE-CEet TPSA- 188€'!S9/1000000</f>
        <v>134.1355899046672</v>
      </c>
      <c r="E7" s="110">
        <f>C7*E4/C4/2</f>
        <v>4.312700502952966</v>
      </c>
      <c r="F7" s="110">
        <f>('[3]Gér hosp-188'!R9)/1000000</f>
        <v>96.2827315880486</v>
      </c>
      <c r="G7" s="110">
        <f>'[3]Grce priv-abattement'!R9/1000000</f>
        <v>47.79400202278159</v>
      </c>
      <c r="H7" s="110">
        <f>SUM(C7:G7)</f>
        <v>587.7104779601738</v>
      </c>
      <c r="I7" s="102"/>
      <c r="J7" s="102"/>
      <c r="K7" s="102"/>
      <c r="L7" s="102"/>
      <c r="M7" s="102"/>
      <c r="N7" s="102"/>
      <c r="O7" s="99"/>
      <c r="P7" s="99"/>
      <c r="Q7" s="99"/>
      <c r="R7" s="99"/>
      <c r="S7" s="99"/>
      <c r="T7" s="99"/>
    </row>
    <row r="8" spans="1:20" ht="49.5" customHeight="1" thickBot="1">
      <c r="A8" s="111" t="s">
        <v>2</v>
      </c>
      <c r="B8" s="52" t="s">
        <v>66</v>
      </c>
      <c r="C8" s="112">
        <f>('[3]prélfranchise MV seuil 1,5 SMIC'!B31+'[3]prél TE-TPSA au dessus 1,5SMIC'!T11)/1000000</f>
        <v>39.63028252410048</v>
      </c>
      <c r="D8" s="112">
        <f>('[3]prélfranchise MV seuil 1,5 SMIC'!E31+'[3]prél TE-TPSA au dessus 1,5SMIC'!T9)/1000000</f>
        <v>4.079430596014667</v>
      </c>
      <c r="E8" s="112">
        <f>C8*E4/C4</f>
        <v>1.1200634706953827</v>
      </c>
      <c r="F8" s="112">
        <f>('[3]Gér hosp-prél 1,4 SMIC-188'!R9+'[3]prélfranchise MV seuil 1,5 SMIC'!F31)/1000000</f>
        <v>12.15938061505117</v>
      </c>
      <c r="G8" s="112">
        <f>('[3]Grce priv-prell 1,4 SMIC-188'!R9+'[3]prélfranchise MV seuil 1,5 SMIC'!G31)/1000000</f>
        <v>15.366469058350692</v>
      </c>
      <c r="H8" s="112">
        <f>SUM(C8:G8)</f>
        <v>72.35562626421239</v>
      </c>
      <c r="I8" s="102"/>
      <c r="J8" s="102"/>
      <c r="K8" s="102"/>
      <c r="L8" s="102"/>
      <c r="M8" s="102"/>
      <c r="N8" s="102"/>
      <c r="O8" s="99"/>
      <c r="P8" s="99"/>
      <c r="Q8" s="99"/>
      <c r="R8" s="99"/>
      <c r="S8" s="99"/>
      <c r="T8" s="99"/>
    </row>
    <row r="9" spans="1:20" ht="39" customHeight="1">
      <c r="A9" s="113" t="s">
        <v>3</v>
      </c>
      <c r="B9" s="114" t="s">
        <v>4</v>
      </c>
      <c r="C9" s="115">
        <f aca="true" t="shared" si="0" ref="C9:H9">C7-C8</f>
        <v>265.55517141762294</v>
      </c>
      <c r="D9" s="115">
        <f t="shared" si="0"/>
        <v>130.05615930865252</v>
      </c>
      <c r="E9" s="115">
        <f t="shared" si="0"/>
        <v>3.192637032257583</v>
      </c>
      <c r="F9" s="115">
        <f t="shared" si="0"/>
        <v>84.12335097299743</v>
      </c>
      <c r="G9" s="115">
        <f t="shared" si="0"/>
        <v>32.427532964430895</v>
      </c>
      <c r="H9" s="115">
        <f t="shared" si="0"/>
        <v>515.3548516959613</v>
      </c>
      <c r="I9" s="102"/>
      <c r="J9" s="102"/>
      <c r="K9" s="102"/>
      <c r="L9" s="102"/>
      <c r="M9" s="102"/>
      <c r="N9" s="102"/>
      <c r="O9" s="99"/>
      <c r="P9" s="99"/>
      <c r="Q9" s="99"/>
      <c r="R9" s="99"/>
      <c r="S9" s="99"/>
      <c r="T9" s="99"/>
    </row>
    <row r="10" spans="1:20" s="1" customFormat="1" ht="47.25" customHeight="1">
      <c r="A10" s="113" t="s">
        <v>28</v>
      </c>
      <c r="B10" s="61" t="s">
        <v>29</v>
      </c>
      <c r="C10" s="116">
        <f>'[3]fiche budgétaire'!B34/1000000</f>
        <v>167.06162164835968</v>
      </c>
      <c r="D10" s="116">
        <f>'[3]fiche budgétaire'!D34/1000000</f>
        <v>148.56689563526012</v>
      </c>
      <c r="E10" s="116"/>
      <c r="F10" s="116">
        <f>('[3]fiche budgétaire'!F34)/1000000</f>
        <v>52.02709120366538</v>
      </c>
      <c r="G10" s="116"/>
      <c r="H10" s="116">
        <f>SUM(C10:G10)</f>
        <v>367.6556084872851</v>
      </c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</row>
    <row r="11" spans="1:20" ht="51" customHeight="1" thickBot="1">
      <c r="A11" s="103" t="s">
        <v>5</v>
      </c>
      <c r="B11" s="119" t="s">
        <v>6</v>
      </c>
      <c r="C11" s="69">
        <f>C7-C10-C8</f>
        <v>98.49354976926328</v>
      </c>
      <c r="D11" s="69">
        <f>D7-D10-D8</f>
        <v>-18.510736326607592</v>
      </c>
      <c r="E11" s="69">
        <f>E7-E10-E8</f>
        <v>3.192637032257583</v>
      </c>
      <c r="F11" s="69">
        <f>F7-F10-F8</f>
        <v>32.09625976933206</v>
      </c>
      <c r="G11" s="69">
        <f>G7-G10-G8</f>
        <v>32.427532964430895</v>
      </c>
      <c r="H11" s="69">
        <f>SUM(C11:G11)</f>
        <v>147.69924320867622</v>
      </c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</row>
    <row r="12" spans="1:20" s="124" customFormat="1" ht="39.75" customHeight="1">
      <c r="A12" s="120"/>
      <c r="B12" s="71"/>
      <c r="C12" s="72"/>
      <c r="D12" s="72"/>
      <c r="E12" s="72"/>
      <c r="F12" s="72"/>
      <c r="G12" s="72"/>
      <c r="H12" s="121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  <headerFooter alignWithMargins="0">
    <oddHeader>&amp;RAnnexe 13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3">
    <pageSetUpPr fitToPage="1"/>
  </sheetPr>
  <dimension ref="A1:T12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1" width="9.8515625" style="1" customWidth="1"/>
    <col min="2" max="2" width="44.00390625" style="18" customWidth="1"/>
    <col min="3" max="3" width="17.7109375" style="18" customWidth="1"/>
    <col min="4" max="4" width="13.57421875" style="18" customWidth="1"/>
    <col min="5" max="5" width="14.28125" style="18" customWidth="1"/>
    <col min="6" max="6" width="14.7109375" style="18" customWidth="1"/>
    <col min="7" max="7" width="13.28125" style="18" customWidth="1"/>
    <col min="8" max="8" width="14.140625" style="18" customWidth="1"/>
    <col min="9" max="9" width="9.8515625" style="18" bestFit="1" customWidth="1"/>
    <col min="10" max="16384" width="9.8515625" style="18" customWidth="1"/>
  </cols>
  <sheetData>
    <row r="1" ht="18.75">
      <c r="A1" s="97" t="s">
        <v>49</v>
      </c>
    </row>
    <row r="2" ht="16.5" thickBot="1">
      <c r="A2" s="1" t="s">
        <v>31</v>
      </c>
    </row>
    <row r="3" spans="1:20" ht="50.25" customHeight="1" thickBot="1">
      <c r="A3" s="129" t="s">
        <v>63</v>
      </c>
      <c r="B3" s="2"/>
      <c r="C3" s="23" t="s">
        <v>16</v>
      </c>
      <c r="D3" s="23" t="s">
        <v>13</v>
      </c>
      <c r="E3" s="23" t="s">
        <v>17</v>
      </c>
      <c r="F3" s="23" t="s">
        <v>18</v>
      </c>
      <c r="G3" s="23" t="s">
        <v>14</v>
      </c>
      <c r="H3" s="98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36" customHeight="1">
      <c r="A4" s="100" t="s">
        <v>20</v>
      </c>
      <c r="B4" s="101" t="s">
        <v>21</v>
      </c>
      <c r="C4" s="28">
        <f>'[5]fiche budgétaire'!B27</f>
        <v>184093.460208</v>
      </c>
      <c r="D4" s="28">
        <f>'[5]fiche budgétaire'!D27</f>
        <v>66437.865</v>
      </c>
      <c r="E4" s="28">
        <f>'[5]fiche budgétaire'!E27</f>
        <v>5203</v>
      </c>
      <c r="F4" s="28">
        <f>'[5]fiche budgétaire'!F27</f>
        <v>77000</v>
      </c>
      <c r="G4" s="28">
        <f>'[5]fiche budgétaire'!G27</f>
        <v>44000</v>
      </c>
      <c r="H4" s="28">
        <f>SUM(C4:G4)</f>
        <v>376734.325208</v>
      </c>
      <c r="I4" s="102"/>
      <c r="J4" s="102"/>
      <c r="K4" s="102"/>
      <c r="L4" s="102"/>
      <c r="M4" s="102"/>
      <c r="N4" s="102"/>
      <c r="O4" s="99"/>
      <c r="P4" s="99"/>
      <c r="Q4" s="99"/>
      <c r="R4" s="99"/>
      <c r="S4" s="99"/>
      <c r="T4" s="99"/>
    </row>
    <row r="5" spans="1:20" ht="45.75" customHeight="1" thickBot="1">
      <c r="A5" s="103" t="s">
        <v>22</v>
      </c>
      <c r="B5" s="104" t="s">
        <v>23</v>
      </c>
      <c r="C5" s="39">
        <f>'[5]fiche budgétaire'!B28</f>
        <v>176015.650104</v>
      </c>
      <c r="D5" s="39">
        <f>'[5]fiche budgétaire'!D28</f>
        <v>66076.4325</v>
      </c>
      <c r="E5" s="39">
        <f>'[5]fiche budgétaire'!E28</f>
        <v>5203</v>
      </c>
      <c r="F5" s="39">
        <f>'[5]fiche budgétaire'!F28</f>
        <v>73500</v>
      </c>
      <c r="G5" s="39">
        <f>'[5]fiche budgétaire'!G28</f>
        <v>42000</v>
      </c>
      <c r="H5" s="39">
        <f>SUM(C5:G5)</f>
        <v>362795.082604</v>
      </c>
      <c r="I5" s="102"/>
      <c r="J5" s="102"/>
      <c r="K5" s="102"/>
      <c r="L5" s="102"/>
      <c r="M5" s="102"/>
      <c r="N5" s="102"/>
      <c r="O5" s="99"/>
      <c r="P5" s="99"/>
      <c r="Q5" s="99"/>
      <c r="R5" s="99"/>
      <c r="S5" s="99"/>
      <c r="T5" s="99"/>
    </row>
    <row r="6" spans="1:20" ht="57.75" customHeight="1" thickBot="1">
      <c r="A6" s="105" t="s">
        <v>50</v>
      </c>
      <c r="B6" s="106" t="s">
        <v>27</v>
      </c>
      <c r="C6" s="107">
        <f>C7*1000000/C5/12</f>
        <v>152.60513481458295</v>
      </c>
      <c r="D6" s="107">
        <f>D7*1000000/D5/12</f>
        <v>178.67098732300437</v>
      </c>
      <c r="E6" s="107">
        <f>E7*1000000/E5/12</f>
        <v>72.95449817513428</v>
      </c>
      <c r="F6" s="107">
        <f>(F7*1000000/F5/12)</f>
        <v>115.29690908400939</v>
      </c>
      <c r="G6" s="107">
        <f>G7*1000000/G5/12</f>
        <v>106.08031118857896</v>
      </c>
      <c r="H6" s="108"/>
      <c r="I6" s="102"/>
      <c r="J6" s="102"/>
      <c r="K6" s="102"/>
      <c r="L6" s="102"/>
      <c r="M6" s="102"/>
      <c r="N6" s="102"/>
      <c r="O6" s="99"/>
      <c r="P6" s="99"/>
      <c r="Q6" s="99"/>
      <c r="R6" s="99"/>
      <c r="S6" s="99"/>
      <c r="T6" s="99"/>
    </row>
    <row r="7" spans="1:20" ht="51" customHeight="1" thickBot="1">
      <c r="A7" s="105" t="s">
        <v>0</v>
      </c>
      <c r="B7" s="109" t="s">
        <v>1</v>
      </c>
      <c r="C7" s="110">
        <f>'[5]TE-CEet TPSA- 188€'!S11/1000000</f>
        <v>322.3307041631686</v>
      </c>
      <c r="D7" s="110">
        <f>'[5]TE-CEet TPSA- 188€'!S9/1000000</f>
        <v>141.67129720268224</v>
      </c>
      <c r="E7" s="110">
        <f>C7*E4/C4/2</f>
        <v>4.554987048062684</v>
      </c>
      <c r="F7" s="110">
        <f>('[5]Gér hosp-188'!R9)/1000000</f>
        <v>101.69187381209628</v>
      </c>
      <c r="G7" s="110">
        <f>'[5]Grce priv-abattement'!R9/1000000</f>
        <v>53.4644768390438</v>
      </c>
      <c r="H7" s="110">
        <f>SUM(C7:G7)</f>
        <v>623.7133390650536</v>
      </c>
      <c r="I7" s="102"/>
      <c r="J7" s="102"/>
      <c r="K7" s="102"/>
      <c r="L7" s="102"/>
      <c r="M7" s="102"/>
      <c r="N7" s="102"/>
      <c r="O7" s="99"/>
      <c r="P7" s="99"/>
      <c r="Q7" s="99"/>
      <c r="R7" s="99"/>
      <c r="S7" s="99"/>
      <c r="T7" s="99"/>
    </row>
    <row r="8" spans="1:20" ht="49.5" customHeight="1">
      <c r="A8" s="111" t="s">
        <v>2</v>
      </c>
      <c r="B8" s="125" t="s">
        <v>67</v>
      </c>
      <c r="C8" s="112">
        <f>('[5]prélfranchise MV seuil 1,5 SMIC'!B31+'[5]prél TE-TPSA au dessus 1,5SMIC'!T11)/1000000</f>
        <v>42.4329899186966</v>
      </c>
      <c r="D8" s="112">
        <f>('[5]prélfranchise MV seuil 1,5 SMIC'!E31+'[5]prél TE-TPSA au dessus 1,5SMIC'!T9)/1000000</f>
        <v>4.374098829550949</v>
      </c>
      <c r="E8" s="112">
        <f>C8*E4/C4</f>
        <v>1.199275880292157</v>
      </c>
      <c r="F8" s="112">
        <f>('[5]Gér hosp-prél 1,4 SMIC-188'!R9+'[5]prélfranchise MV seuil 1,5 SMIC'!F31)/1000000</f>
        <v>13.017266479026459</v>
      </c>
      <c r="G8" s="112">
        <f>('[5]Grce priv-prell 1,4 SMIC-188'!R9+'[5]prélfranchise MV seuil 1,5 SMIC'!G31)/1000000</f>
        <v>16.38054174167246</v>
      </c>
      <c r="H8" s="112">
        <f>SUM(C8:G8)</f>
        <v>77.40417284923862</v>
      </c>
      <c r="I8" s="102"/>
      <c r="J8" s="102"/>
      <c r="K8" s="102"/>
      <c r="L8" s="102"/>
      <c r="M8" s="102"/>
      <c r="N8" s="102"/>
      <c r="O8" s="99"/>
      <c r="P8" s="99"/>
      <c r="Q8" s="99"/>
      <c r="R8" s="99"/>
      <c r="S8" s="99"/>
      <c r="T8" s="99"/>
    </row>
    <row r="9" spans="1:20" ht="39" customHeight="1">
      <c r="A9" s="113" t="s">
        <v>3</v>
      </c>
      <c r="B9" s="114" t="s">
        <v>4</v>
      </c>
      <c r="C9" s="115">
        <f aca="true" t="shared" si="0" ref="C9:H9">C7-C8</f>
        <v>279.897714244472</v>
      </c>
      <c r="D9" s="115">
        <f t="shared" si="0"/>
        <v>137.2971983731313</v>
      </c>
      <c r="E9" s="115">
        <f t="shared" si="0"/>
        <v>3.355711167770527</v>
      </c>
      <c r="F9" s="115">
        <f t="shared" si="0"/>
        <v>88.67460733306982</v>
      </c>
      <c r="G9" s="115">
        <f t="shared" si="0"/>
        <v>37.08393509737134</v>
      </c>
      <c r="H9" s="115">
        <f t="shared" si="0"/>
        <v>546.3091662158149</v>
      </c>
      <c r="I9" s="102"/>
      <c r="J9" s="102"/>
      <c r="K9" s="102"/>
      <c r="L9" s="102"/>
      <c r="M9" s="102"/>
      <c r="N9" s="102"/>
      <c r="O9" s="99"/>
      <c r="P9" s="99"/>
      <c r="Q9" s="99"/>
      <c r="R9" s="99"/>
      <c r="S9" s="99"/>
      <c r="T9" s="99"/>
    </row>
    <row r="10" spans="1:20" s="1" customFormat="1" ht="47.25" customHeight="1">
      <c r="A10" s="113" t="s">
        <v>28</v>
      </c>
      <c r="B10" s="61" t="s">
        <v>29</v>
      </c>
      <c r="C10" s="116">
        <f>'[5]fiche budgétaire'!B34/1000000</f>
        <v>167.06162164835968</v>
      </c>
      <c r="D10" s="116">
        <f>'[5]fiche budgétaire'!D34/1000000</f>
        <v>148.56689563526012</v>
      </c>
      <c r="E10" s="116"/>
      <c r="F10" s="116">
        <f>('[5]fiche budgétaire'!F34)/1000000</f>
        <v>52.02709120366538</v>
      </c>
      <c r="G10" s="116"/>
      <c r="H10" s="116">
        <f>SUM(C10:G10)</f>
        <v>367.6556084872851</v>
      </c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</row>
    <row r="11" spans="1:20" ht="51" customHeight="1" thickBot="1">
      <c r="A11" s="103" t="s">
        <v>5</v>
      </c>
      <c r="B11" s="119" t="s">
        <v>6</v>
      </c>
      <c r="C11" s="69">
        <f>C7-C10-C8</f>
        <v>112.83609259611234</v>
      </c>
      <c r="D11" s="69">
        <f>D7-D10-D8</f>
        <v>-11.269697262128833</v>
      </c>
      <c r="E11" s="69">
        <f>E7-E10-E8</f>
        <v>3.355711167770527</v>
      </c>
      <c r="F11" s="69">
        <f>F7-F10-F8</f>
        <v>36.64751612940444</v>
      </c>
      <c r="G11" s="69">
        <f>G7-G10-G8</f>
        <v>37.08393509737134</v>
      </c>
      <c r="H11" s="69">
        <f>SUM(C11:G11)</f>
        <v>178.6535577285298</v>
      </c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</row>
    <row r="12" spans="1:20" s="124" customFormat="1" ht="39.75" customHeight="1">
      <c r="A12" s="120"/>
      <c r="B12" s="71"/>
      <c r="C12" s="72"/>
      <c r="D12" s="72"/>
      <c r="E12" s="72"/>
      <c r="F12" s="72"/>
      <c r="G12" s="72"/>
      <c r="H12" s="121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113">
    <pageSetUpPr fitToPage="1"/>
  </sheetPr>
  <dimension ref="A1:S13"/>
  <sheetViews>
    <sheetView zoomScale="75" zoomScaleNormal="75" workbookViewId="0" topLeftCell="A6">
      <selection activeCell="D7" sqref="D7"/>
    </sheetView>
  </sheetViews>
  <sheetFormatPr defaultColWidth="11.421875" defaultRowHeight="12.75"/>
  <cols>
    <col min="1" max="1" width="13.8515625" style="17" customWidth="1"/>
    <col min="2" max="2" width="38.7109375" style="17" customWidth="1"/>
    <col min="3" max="3" width="17.57421875" style="17" customWidth="1"/>
    <col min="4" max="4" width="18.421875" style="17" customWidth="1"/>
    <col min="5" max="5" width="21.00390625" style="17" customWidth="1"/>
    <col min="6" max="6" width="19.421875" style="17" customWidth="1"/>
    <col min="7" max="7" width="19.00390625" style="17" customWidth="1"/>
    <col min="8" max="8" width="18.00390625" style="17" customWidth="1"/>
    <col min="9" max="16384" width="8.421875" style="17" customWidth="1"/>
  </cols>
  <sheetData>
    <row r="1" spans="1:8" ht="48" customHeight="1">
      <c r="A1" s="138" t="s">
        <v>15</v>
      </c>
      <c r="B1" s="139"/>
      <c r="C1" s="139"/>
      <c r="D1" s="139"/>
      <c r="E1" s="139"/>
      <c r="F1" s="139"/>
      <c r="G1" s="139"/>
      <c r="H1" s="139"/>
    </row>
    <row r="2" spans="1:7" ht="15.75" customHeight="1" thickBot="1">
      <c r="A2" s="17" t="s">
        <v>54</v>
      </c>
      <c r="B2" s="18"/>
      <c r="C2" s="18"/>
      <c r="D2" s="18"/>
      <c r="E2" s="18"/>
      <c r="F2" s="19"/>
      <c r="G2" s="18"/>
    </row>
    <row r="3" spans="2:19" ht="33.75" customHeight="1" thickBot="1">
      <c r="B3" s="20"/>
      <c r="C3" s="21" t="s">
        <v>16</v>
      </c>
      <c r="D3" s="22" t="s">
        <v>13</v>
      </c>
      <c r="E3" s="23" t="s">
        <v>17</v>
      </c>
      <c r="F3" s="23" t="s">
        <v>18</v>
      </c>
      <c r="G3" s="23" t="s">
        <v>14</v>
      </c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9.5" customHeight="1">
      <c r="A4" s="26" t="s">
        <v>20</v>
      </c>
      <c r="B4" s="27" t="s">
        <v>21</v>
      </c>
      <c r="C4" s="28">
        <f>'[1]60 stock-franchMV-1,4SMIC'!C4</f>
        <v>184093.460208</v>
      </c>
      <c r="D4" s="29">
        <f>'[1]60 stock-franchMV-1,4SMIC'!D4</f>
        <v>66437.865</v>
      </c>
      <c r="E4" s="28">
        <f>'[1]60 stock-franchMV-1,4SMIC'!E4</f>
        <v>5203</v>
      </c>
      <c r="F4" s="28">
        <f>'[1]60 stock-franchMV-1,4SMIC'!F4</f>
        <v>77000</v>
      </c>
      <c r="G4" s="28">
        <f>'[1]60 stock-franchMV-1,4SMIC'!G4</f>
        <v>44000</v>
      </c>
      <c r="H4" s="30">
        <f>SUM(C4:G4)</f>
        <v>376734.325208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5" customHeight="1">
      <c r="A5" s="31" t="s">
        <v>22</v>
      </c>
      <c r="B5" s="32" t="s">
        <v>23</v>
      </c>
      <c r="C5" s="33">
        <f>'[1]60 stock-franchMV-1,4SMIC'!C5</f>
        <v>176015.650104</v>
      </c>
      <c r="D5" s="34">
        <f>'[1]60 stock-franchMV-1,4SMIC'!D5</f>
        <v>66076.4325</v>
      </c>
      <c r="E5" s="33">
        <f>'[1]60 stock-franchMV-1,4SMIC'!E5</f>
        <v>5203</v>
      </c>
      <c r="F5" s="33"/>
      <c r="G5" s="33"/>
      <c r="H5" s="35">
        <f>SUM(C5:E5)</f>
        <v>247295.082604</v>
      </c>
      <c r="I5" s="36"/>
      <c r="J5" s="36"/>
      <c r="K5" s="36"/>
      <c r="L5" s="36"/>
      <c r="M5" s="36"/>
      <c r="N5" s="25"/>
      <c r="O5" s="25"/>
      <c r="P5" s="25"/>
      <c r="Q5" s="25"/>
      <c r="R5" s="25"/>
      <c r="S5" s="25"/>
    </row>
    <row r="6" spans="1:19" ht="51" customHeight="1" thickBot="1">
      <c r="A6" s="37" t="s">
        <v>24</v>
      </c>
      <c r="B6" s="38" t="s">
        <v>25</v>
      </c>
      <c r="C6" s="39"/>
      <c r="D6" s="40"/>
      <c r="E6" s="39"/>
      <c r="F6" s="39">
        <v>7350</v>
      </c>
      <c r="G6" s="39">
        <v>4200</v>
      </c>
      <c r="H6" s="41">
        <f>SUM(F6:G6)</f>
        <v>11550</v>
      </c>
      <c r="I6" s="36"/>
      <c r="J6" s="36"/>
      <c r="K6" s="36"/>
      <c r="L6" s="36"/>
      <c r="M6" s="36"/>
      <c r="N6" s="25"/>
      <c r="O6" s="25"/>
      <c r="P6" s="25"/>
      <c r="Q6" s="25"/>
      <c r="R6" s="25"/>
      <c r="S6" s="25"/>
    </row>
    <row r="7" spans="1:19" ht="73.5" customHeight="1">
      <c r="A7" s="42" t="s">
        <v>26</v>
      </c>
      <c r="B7" s="27" t="s">
        <v>27</v>
      </c>
      <c r="C7" s="43">
        <f>C8*1000000/C5/12</f>
        <v>118.51249831345274</v>
      </c>
      <c r="D7" s="44">
        <f>D8*1000000/D5/12</f>
        <v>138.75512845297146</v>
      </c>
      <c r="E7" s="43">
        <f>E8*1000000/E5/12</f>
        <v>56.656152838136194</v>
      </c>
      <c r="F7" s="43">
        <f>F8*1000000/F6/6</f>
        <v>191.18890541305643</v>
      </c>
      <c r="G7" s="43">
        <f>G8*1000000/G6/6</f>
        <v>140.1706485420718</v>
      </c>
      <c r="H7" s="45"/>
      <c r="I7" s="36"/>
      <c r="J7" s="36"/>
      <c r="K7" s="36"/>
      <c r="L7" s="36"/>
      <c r="M7" s="36"/>
      <c r="N7" s="25"/>
      <c r="O7" s="25"/>
      <c r="P7" s="25"/>
      <c r="Q7" s="25"/>
      <c r="R7" s="25"/>
      <c r="S7" s="25"/>
    </row>
    <row r="8" spans="1:19" ht="54.75" customHeight="1" thickBot="1">
      <c r="A8" s="46" t="s">
        <v>0</v>
      </c>
      <c r="B8" s="47" t="s">
        <v>1</v>
      </c>
      <c r="C8" s="48">
        <f>'[1]60 stock-franchMV-1,4SMIC'!C7</f>
        <v>250.32065323309905</v>
      </c>
      <c r="D8" s="49">
        <f>'[1]60 stock-franchMV-1,4SMIC'!D7</f>
        <v>110.02132655101917</v>
      </c>
      <c r="E8" s="48">
        <f>'[1]60 stock-franchMV-1,4SMIC'!E7</f>
        <v>3.5373835586018716</v>
      </c>
      <c r="F8" s="48">
        <f>'[1]Entrées Gér hosp-135 (2)'!J9/1000000</f>
        <v>8.431430728715789</v>
      </c>
      <c r="G8" s="48">
        <f>'[1]entrées Grce priv-96(2)'!J9/1000000</f>
        <v>3.532300343260209</v>
      </c>
      <c r="H8" s="50">
        <f>C8+D8+E8+F8+G8</f>
        <v>375.84309441469605</v>
      </c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</row>
    <row r="9" spans="1:19" ht="63.75" customHeight="1" thickBot="1">
      <c r="A9" s="51" t="s">
        <v>2</v>
      </c>
      <c r="B9" s="52" t="s">
        <v>36</v>
      </c>
      <c r="C9" s="53">
        <f>'[1]franchise MV seuil 1,4 SMIC'!B31/1000000+'[1]prél TE-TPSA au dessus 1,4SMIC'!T11/1000000</f>
        <v>34.88508110126983</v>
      </c>
      <c r="D9" s="54">
        <f>'[1]franchise MV seuil 1,4 SMIC'!E31/1000000+'[1]prél TE-TPSA au dessus 1,4SMIC'!T9/1000000</f>
        <v>3.7364608384231763</v>
      </c>
      <c r="E9" s="4">
        <f>'[1]60 stock-franchMV-1,4SMIC'!E8</f>
        <v>0.9859507054994193</v>
      </c>
      <c r="F9" s="55">
        <f>('[1]60 stock-franchMV-1,4SMIC'!F8)*0.1</f>
        <v>1.0716534697929887</v>
      </c>
      <c r="G9" s="55">
        <f>('[1]60 stock-franchMV-1,4SMIC'!G8)*0.1</f>
        <v>1.3249941602873236</v>
      </c>
      <c r="H9" s="56">
        <f>C9+D9+E9+F9+G9</f>
        <v>42.004140275272746</v>
      </c>
      <c r="I9" s="36"/>
      <c r="J9" s="36"/>
      <c r="K9" s="36"/>
      <c r="L9" s="36"/>
      <c r="M9" s="36"/>
      <c r="N9" s="25"/>
      <c r="O9" s="25"/>
      <c r="P9" s="25"/>
      <c r="Q9" s="25"/>
      <c r="R9" s="25"/>
      <c r="S9" s="25"/>
    </row>
    <row r="10" spans="1:19" ht="42.75" customHeight="1" thickBot="1">
      <c r="A10" s="51" t="s">
        <v>3</v>
      </c>
      <c r="B10" s="57" t="s">
        <v>4</v>
      </c>
      <c r="C10" s="58">
        <f>C8-C9</f>
        <v>215.43557213182922</v>
      </c>
      <c r="D10" s="5">
        <f>D8-D9</f>
        <v>106.284865712596</v>
      </c>
      <c r="E10" s="58">
        <f>E8-E9</f>
        <v>2.5514328531024524</v>
      </c>
      <c r="F10" s="58">
        <f>F8-F9</f>
        <v>7.3597772589228</v>
      </c>
      <c r="G10" s="58">
        <f>G8-G9</f>
        <v>2.2073061829728853</v>
      </c>
      <c r="H10" s="59">
        <f>C10+D10+E10+F10+G10</f>
        <v>333.8389541394233</v>
      </c>
      <c r="I10" s="36"/>
      <c r="J10" s="36"/>
      <c r="K10" s="36"/>
      <c r="L10" s="36"/>
      <c r="M10" s="36"/>
      <c r="N10" s="25"/>
      <c r="O10" s="25"/>
      <c r="P10" s="25"/>
      <c r="Q10" s="25"/>
      <c r="R10" s="25"/>
      <c r="S10" s="25"/>
    </row>
    <row r="11" spans="1:19" s="68" customFormat="1" ht="61.5" customHeight="1">
      <c r="A11" s="60" t="s">
        <v>28</v>
      </c>
      <c r="B11" s="61" t="s">
        <v>29</v>
      </c>
      <c r="C11" s="62">
        <f>'[1]60 stock-franchMV-1,4SMIC'!C10</f>
        <v>167.06162164835968</v>
      </c>
      <c r="D11" s="63">
        <f>'[1]60 stock-franchMV-1,4SMIC'!D10</f>
        <v>148.56689563526012</v>
      </c>
      <c r="E11" s="64">
        <v>0</v>
      </c>
      <c r="F11" s="64">
        <f>'[1]60 stock-franchMV-1,4SMIC'!F10*0.1</f>
        <v>5.2027091203665385</v>
      </c>
      <c r="G11" s="64">
        <v>0</v>
      </c>
      <c r="H11" s="65">
        <f>C11+D11+E11+F11+G11</f>
        <v>320.8312264039863</v>
      </c>
      <c r="I11" s="66"/>
      <c r="J11" s="66"/>
      <c r="K11" s="66"/>
      <c r="L11" s="66"/>
      <c r="M11" s="66"/>
      <c r="N11" s="67"/>
      <c r="O11" s="67"/>
      <c r="P11" s="67"/>
      <c r="Q11" s="67"/>
      <c r="R11" s="67"/>
      <c r="S11" s="67"/>
    </row>
    <row r="12" spans="1:19" s="68" customFormat="1" ht="51.75" customHeight="1" thickBot="1">
      <c r="A12" s="46" t="s">
        <v>5</v>
      </c>
      <c r="B12" s="47" t="s">
        <v>6</v>
      </c>
      <c r="C12" s="69">
        <f>C10-C11</f>
        <v>48.37395048346954</v>
      </c>
      <c r="D12" s="70">
        <f>D10-D11</f>
        <v>-42.28202992266412</v>
      </c>
      <c r="E12" s="69">
        <f>E10-E11</f>
        <v>2.5514328531024524</v>
      </c>
      <c r="F12" s="69">
        <f>F10-F11</f>
        <v>2.1570681385562613</v>
      </c>
      <c r="G12" s="69">
        <f>G10-G11</f>
        <v>2.2073061829728853</v>
      </c>
      <c r="H12" s="50">
        <f>C12+D12+E12+F12+G12</f>
        <v>13.007727735437019</v>
      </c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</row>
    <row r="13" spans="2:19" s="68" customFormat="1" ht="36.75" customHeight="1">
      <c r="B13" s="71"/>
      <c r="C13" s="72"/>
      <c r="D13" s="72"/>
      <c r="E13" s="72"/>
      <c r="F13" s="72"/>
      <c r="G13" s="72"/>
      <c r="H13" s="90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&amp;L&amp;"Arial,Gras"&amp;UAnnexe 17 - H 1- &amp;"Arial,Normal"&amp;UCotation DGAS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1133">
    <pageSetUpPr fitToPage="1"/>
  </sheetPr>
  <dimension ref="A1:S13"/>
  <sheetViews>
    <sheetView zoomScale="75" zoomScaleNormal="75" workbookViewId="0" topLeftCell="A5">
      <selection activeCell="D7" sqref="D7"/>
    </sheetView>
  </sheetViews>
  <sheetFormatPr defaultColWidth="11.421875" defaultRowHeight="12.75"/>
  <cols>
    <col min="1" max="1" width="13.8515625" style="17" customWidth="1"/>
    <col min="2" max="2" width="38.7109375" style="17" customWidth="1"/>
    <col min="3" max="3" width="17.57421875" style="17" customWidth="1"/>
    <col min="4" max="4" width="18.421875" style="17" customWidth="1"/>
    <col min="5" max="5" width="21.00390625" style="17" customWidth="1"/>
    <col min="6" max="6" width="19.421875" style="17" customWidth="1"/>
    <col min="7" max="7" width="19.00390625" style="17" customWidth="1"/>
    <col min="8" max="8" width="18.00390625" style="17" customWidth="1"/>
    <col min="9" max="16384" width="8.421875" style="17" customWidth="1"/>
  </cols>
  <sheetData>
    <row r="1" spans="1:8" ht="48" customHeight="1">
      <c r="A1" s="138" t="s">
        <v>15</v>
      </c>
      <c r="B1" s="139"/>
      <c r="C1" s="139"/>
      <c r="D1" s="139"/>
      <c r="E1" s="139"/>
      <c r="F1" s="139"/>
      <c r="G1" s="139"/>
      <c r="H1" s="139"/>
    </row>
    <row r="2" spans="1:7" ht="15.75" customHeight="1" thickBot="1">
      <c r="A2" s="17" t="s">
        <v>55</v>
      </c>
      <c r="B2" s="18"/>
      <c r="C2" s="18"/>
      <c r="D2" s="18"/>
      <c r="E2" s="18"/>
      <c r="F2" s="19"/>
      <c r="G2" s="18"/>
    </row>
    <row r="3" spans="2:19" ht="33.75" customHeight="1" thickBot="1">
      <c r="B3" s="20"/>
      <c r="C3" s="21" t="s">
        <v>16</v>
      </c>
      <c r="D3" s="22" t="s">
        <v>13</v>
      </c>
      <c r="E3" s="23" t="s">
        <v>17</v>
      </c>
      <c r="F3" s="23" t="s">
        <v>18</v>
      </c>
      <c r="G3" s="23" t="s">
        <v>14</v>
      </c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9.5" customHeight="1">
      <c r="A4" s="26" t="s">
        <v>20</v>
      </c>
      <c r="B4" s="27" t="s">
        <v>21</v>
      </c>
      <c r="C4" s="28">
        <f>'[2]55 stock-franchMV-1,4SMIC'!C4</f>
        <v>184093.460208</v>
      </c>
      <c r="D4" s="29">
        <f>'[2]55 stock-franchMV-1,4SMIC'!D4</f>
        <v>66437.865</v>
      </c>
      <c r="E4" s="28">
        <f>'[2]55 stock-franchMV-1,4SMIC'!E4</f>
        <v>5203</v>
      </c>
      <c r="F4" s="28">
        <f>'[2]55 stock-franchMV-1,4SMIC'!F4</f>
        <v>77000</v>
      </c>
      <c r="G4" s="28">
        <f>'[2]55 stock-franchMV-1,4SMIC'!G4</f>
        <v>44000</v>
      </c>
      <c r="H4" s="30">
        <f>SUM(C4:G4)</f>
        <v>376734.325208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5" customHeight="1">
      <c r="A5" s="31" t="s">
        <v>22</v>
      </c>
      <c r="B5" s="32" t="s">
        <v>23</v>
      </c>
      <c r="C5" s="33">
        <f>'[2]55 stock-franchMV-1,4SMIC'!C5</f>
        <v>176015.650104</v>
      </c>
      <c r="D5" s="34">
        <f>'[2]55 stock-franchMV-1,4SMIC'!D5</f>
        <v>66076.4325</v>
      </c>
      <c r="E5" s="33">
        <f>'[2]55 stock-franchMV-1,4SMIC'!E5</f>
        <v>5203</v>
      </c>
      <c r="F5" s="33"/>
      <c r="G5" s="33"/>
      <c r="H5" s="35">
        <f>SUM(C5:E5)</f>
        <v>247295.082604</v>
      </c>
      <c r="I5" s="36"/>
      <c r="J5" s="36"/>
      <c r="K5" s="36"/>
      <c r="L5" s="36"/>
      <c r="M5" s="36"/>
      <c r="N5" s="25"/>
      <c r="O5" s="25"/>
      <c r="P5" s="25"/>
      <c r="Q5" s="25"/>
      <c r="R5" s="25"/>
      <c r="S5" s="25"/>
    </row>
    <row r="6" spans="1:19" ht="51" customHeight="1" thickBot="1">
      <c r="A6" s="37" t="s">
        <v>24</v>
      </c>
      <c r="B6" s="38" t="s">
        <v>25</v>
      </c>
      <c r="C6" s="39"/>
      <c r="D6" s="40"/>
      <c r="E6" s="39"/>
      <c r="F6" s="39">
        <v>7350</v>
      </c>
      <c r="G6" s="39">
        <v>4200</v>
      </c>
      <c r="H6" s="41">
        <f>SUM(F6:G6)</f>
        <v>11550</v>
      </c>
      <c r="I6" s="36"/>
      <c r="J6" s="36"/>
      <c r="K6" s="36"/>
      <c r="L6" s="36"/>
      <c r="M6" s="36"/>
      <c r="N6" s="25"/>
      <c r="O6" s="25"/>
      <c r="P6" s="25"/>
      <c r="Q6" s="25"/>
      <c r="R6" s="25"/>
      <c r="S6" s="25"/>
    </row>
    <row r="7" spans="1:19" ht="73.5" customHeight="1">
      <c r="A7" s="42" t="s">
        <v>26</v>
      </c>
      <c r="B7" s="27" t="s">
        <v>27</v>
      </c>
      <c r="C7" s="43">
        <f>C8*1000000/C5/12</f>
        <v>127.44152215898684</v>
      </c>
      <c r="D7" s="44">
        <f>D8*1000000/D5/12</f>
        <v>149.20928196655152</v>
      </c>
      <c r="E7" s="43">
        <f>E8*1000000/E5/12</f>
        <v>60.924767093064276</v>
      </c>
      <c r="F7" s="43">
        <f>F8*1000000/F6/6</f>
        <v>205.59354897157428</v>
      </c>
      <c r="G7" s="43">
        <f>G8*1000000/G6/6</f>
        <v>152.91343477316926</v>
      </c>
      <c r="H7" s="45"/>
      <c r="I7" s="36"/>
      <c r="J7" s="36"/>
      <c r="K7" s="36"/>
      <c r="L7" s="36"/>
      <c r="M7" s="36"/>
      <c r="N7" s="25"/>
      <c r="O7" s="25"/>
      <c r="P7" s="25"/>
      <c r="Q7" s="25"/>
      <c r="R7" s="25"/>
      <c r="S7" s="25"/>
    </row>
    <row r="8" spans="1:19" ht="54.75" customHeight="1" thickBot="1">
      <c r="A8" s="46" t="s">
        <v>0</v>
      </c>
      <c r="B8" s="47" t="s">
        <v>1</v>
      </c>
      <c r="C8" s="48">
        <f>'[2]55 stock-franchMV-1,4SMIC'!C7</f>
        <v>269.1804284766887</v>
      </c>
      <c r="D8" s="49">
        <f>'[2]55 stock-franchMV-1,4SMIC'!D7</f>
        <v>118.31060457883568</v>
      </c>
      <c r="E8" s="48">
        <f>'[2]55 stock-franchMV-1,4SMIC'!E7</f>
        <v>3.803898758222561</v>
      </c>
      <c r="F8" s="48">
        <f>'[2]Entrées Gér hosp-135 (2)'!J9/1000000</f>
        <v>9.066675509646426</v>
      </c>
      <c r="G8" s="48">
        <f>'[2]entrées Grce priv-96(2)'!J9/1000000</f>
        <v>3.853418556283865</v>
      </c>
      <c r="H8" s="50">
        <f>C8+D8+E8+F8+G8</f>
        <v>404.2150258796772</v>
      </c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</row>
    <row r="9" spans="1:19" ht="63.75" customHeight="1" thickBot="1">
      <c r="A9" s="51" t="s">
        <v>2</v>
      </c>
      <c r="B9" s="52" t="s">
        <v>37</v>
      </c>
      <c r="C9" s="53">
        <f>'[2]franchise MV seuil 1,4 SMIC'!B31/1000000+'[2]prél TE-TPSA au dessus 1,4SMIC'!T11/1000000</f>
        <v>38.41506345770788</v>
      </c>
      <c r="D9" s="54">
        <f>'[2]franchise MV seuil 1,4 SMIC'!E31/1000000+'[2]prél TE-TPSA au dessus 1,4SMIC'!T9/1000000</f>
        <v>4.115900676453213</v>
      </c>
      <c r="E9" s="4">
        <f>'[2]55 stock-franchMV-1,4SMIC'!E8</f>
        <v>1.0857179551333587</v>
      </c>
      <c r="F9" s="55">
        <f>('[2]55 stock-franchMV-1,4SMIC'!F8)*0.1</f>
        <v>1.1797444407071256</v>
      </c>
      <c r="G9" s="55">
        <f>('[2]55 stock-franchMV-1,4SMIC'!G8)*0.1</f>
        <v>1.4491208858596292</v>
      </c>
      <c r="H9" s="56">
        <f>C9+D9+E9+F9+G9</f>
        <v>46.24554741586121</v>
      </c>
      <c r="I9" s="36"/>
      <c r="J9" s="36"/>
      <c r="K9" s="36"/>
      <c r="L9" s="36"/>
      <c r="M9" s="36"/>
      <c r="N9" s="25"/>
      <c r="O9" s="25"/>
      <c r="P9" s="25"/>
      <c r="Q9" s="25"/>
      <c r="R9" s="25"/>
      <c r="S9" s="25"/>
    </row>
    <row r="10" spans="1:19" ht="42.75" customHeight="1" thickBot="1">
      <c r="A10" s="51" t="s">
        <v>3</v>
      </c>
      <c r="B10" s="57" t="s">
        <v>4</v>
      </c>
      <c r="C10" s="58">
        <f>C8-C9</f>
        <v>230.76536501898082</v>
      </c>
      <c r="D10" s="5">
        <f>D8-D9</f>
        <v>114.19470390238247</v>
      </c>
      <c r="E10" s="58">
        <f>E8-E9</f>
        <v>2.7181808030892025</v>
      </c>
      <c r="F10" s="58">
        <f>F8-F9</f>
        <v>7.886931068939301</v>
      </c>
      <c r="G10" s="58">
        <f>G8-G9</f>
        <v>2.404297670424236</v>
      </c>
      <c r="H10" s="59">
        <f>C10+D10+E10+F10+G10</f>
        <v>357.969478463816</v>
      </c>
      <c r="I10" s="36"/>
      <c r="J10" s="36"/>
      <c r="K10" s="36"/>
      <c r="L10" s="36"/>
      <c r="M10" s="36"/>
      <c r="N10" s="25"/>
      <c r="O10" s="25"/>
      <c r="P10" s="25"/>
      <c r="Q10" s="25"/>
      <c r="R10" s="25"/>
      <c r="S10" s="25"/>
    </row>
    <row r="11" spans="1:19" s="68" customFormat="1" ht="61.5" customHeight="1">
      <c r="A11" s="60" t="s">
        <v>28</v>
      </c>
      <c r="B11" s="61" t="s">
        <v>29</v>
      </c>
      <c r="C11" s="62">
        <f>'[2]55 stock-franchMV-1,4SMIC'!C10</f>
        <v>167.06162164835968</v>
      </c>
      <c r="D11" s="63">
        <f>'[2]55 stock-franchMV-1,4SMIC'!D10</f>
        <v>148.56689563526012</v>
      </c>
      <c r="E11" s="64">
        <v>0</v>
      </c>
      <c r="F11" s="64">
        <f>'[2]55 stock-franchMV-1,4SMIC'!F10*0.1</f>
        <v>5.2027091203665385</v>
      </c>
      <c r="G11" s="64">
        <v>0</v>
      </c>
      <c r="H11" s="65">
        <f>C11+D11+E11+F11+G11</f>
        <v>320.8312264039863</v>
      </c>
      <c r="I11" s="66"/>
      <c r="J11" s="66"/>
      <c r="K11" s="66"/>
      <c r="L11" s="66"/>
      <c r="M11" s="66"/>
      <c r="N11" s="67"/>
      <c r="O11" s="67"/>
      <c r="P11" s="67"/>
      <c r="Q11" s="67"/>
      <c r="R11" s="67"/>
      <c r="S11" s="67"/>
    </row>
    <row r="12" spans="1:19" s="68" customFormat="1" ht="51.75" customHeight="1" thickBot="1">
      <c r="A12" s="46" t="s">
        <v>5</v>
      </c>
      <c r="B12" s="47" t="s">
        <v>6</v>
      </c>
      <c r="C12" s="69">
        <f>C10-C11</f>
        <v>63.70374337062114</v>
      </c>
      <c r="D12" s="70">
        <f>D10-D11</f>
        <v>-34.37219173287765</v>
      </c>
      <c r="E12" s="69">
        <f>E10-E11</f>
        <v>2.7181808030892025</v>
      </c>
      <c r="F12" s="69">
        <f>F10-F11</f>
        <v>2.6842219485727625</v>
      </c>
      <c r="G12" s="69">
        <f>G10-G11</f>
        <v>2.404297670424236</v>
      </c>
      <c r="H12" s="50">
        <f>C12+D12+E12+F12+G12</f>
        <v>37.13825205982969</v>
      </c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</row>
    <row r="13" spans="2:19" s="68" customFormat="1" ht="36.75" customHeight="1">
      <c r="B13" s="71"/>
      <c r="C13" s="72"/>
      <c r="D13" s="72"/>
      <c r="E13" s="72"/>
      <c r="F13" s="72"/>
      <c r="G13" s="72"/>
      <c r="H13" s="90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&amp;L&amp;"Arial,Gras"&amp;UAnnexe 17 - H 2- &amp;"Arial,Normal"&amp;UCotation DGAS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1131">
    <pageSetUpPr fitToPage="1"/>
  </sheetPr>
  <dimension ref="A1:S1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3.8515625" style="17" customWidth="1"/>
    <col min="2" max="2" width="38.7109375" style="17" customWidth="1"/>
    <col min="3" max="3" width="17.57421875" style="17" customWidth="1"/>
    <col min="4" max="4" width="18.421875" style="17" customWidth="1"/>
    <col min="5" max="5" width="21.00390625" style="17" customWidth="1"/>
    <col min="6" max="6" width="19.421875" style="17" customWidth="1"/>
    <col min="7" max="7" width="19.00390625" style="17" customWidth="1"/>
    <col min="8" max="8" width="18.00390625" style="17" customWidth="1"/>
    <col min="9" max="16384" width="8.421875" style="17" customWidth="1"/>
  </cols>
  <sheetData>
    <row r="1" spans="1:8" ht="48" customHeight="1">
      <c r="A1" s="138" t="s">
        <v>15</v>
      </c>
      <c r="B1" s="139"/>
      <c r="C1" s="139"/>
      <c r="D1" s="139"/>
      <c r="E1" s="139"/>
      <c r="F1" s="139"/>
      <c r="G1" s="139"/>
      <c r="H1" s="139"/>
    </row>
    <row r="2" spans="1:7" ht="15.75" customHeight="1" thickBot="1">
      <c r="A2" s="17" t="s">
        <v>30</v>
      </c>
      <c r="B2" s="18"/>
      <c r="C2" s="18"/>
      <c r="D2" s="18"/>
      <c r="E2" s="18"/>
      <c r="F2" s="19"/>
      <c r="G2" s="18"/>
    </row>
    <row r="3" spans="2:19" ht="33.75" customHeight="1" thickBot="1">
      <c r="B3" s="20"/>
      <c r="C3" s="21" t="s">
        <v>16</v>
      </c>
      <c r="D3" s="22" t="s">
        <v>13</v>
      </c>
      <c r="E3" s="23" t="s">
        <v>17</v>
      </c>
      <c r="F3" s="23" t="s">
        <v>18</v>
      </c>
      <c r="G3" s="23" t="s">
        <v>14</v>
      </c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9.5" customHeight="1">
      <c r="A4" s="26" t="s">
        <v>20</v>
      </c>
      <c r="B4" s="27" t="s">
        <v>21</v>
      </c>
      <c r="C4" s="28">
        <f>'[4]50 stock-franchMV-1,4SMIC'!C4</f>
        <v>184093.460208</v>
      </c>
      <c r="D4" s="29">
        <f>'[4]50 stock-franchMV-1,4SMIC'!D4</f>
        <v>66437.865</v>
      </c>
      <c r="E4" s="28">
        <f>'[4]50 stock-franchMV-1,4SMIC'!E4</f>
        <v>5203</v>
      </c>
      <c r="F4" s="28">
        <f>'[4]50 stock-franchMV-1,4SMIC'!F4</f>
        <v>77000</v>
      </c>
      <c r="G4" s="28">
        <f>'[4]50 stock-franchMV-1,4SMIC'!G4</f>
        <v>44000</v>
      </c>
      <c r="H4" s="30">
        <f>SUM(C4:G4)</f>
        <v>376734.325208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5" customHeight="1">
      <c r="A5" s="31" t="s">
        <v>22</v>
      </c>
      <c r="B5" s="32" t="s">
        <v>23</v>
      </c>
      <c r="C5" s="33">
        <f>'[4]50 stock-franchMV-1,4SMIC'!C5</f>
        <v>176015.650104</v>
      </c>
      <c r="D5" s="34">
        <f>'[4]50 stock-franchMV-1,4SMIC'!D5</f>
        <v>66076.4325</v>
      </c>
      <c r="E5" s="33">
        <f>'[4]50 stock-franchMV-1,4SMIC'!E5</f>
        <v>5203</v>
      </c>
      <c r="F5" s="33"/>
      <c r="G5" s="33"/>
      <c r="H5" s="35">
        <f>SUM(C5:E5)</f>
        <v>247295.082604</v>
      </c>
      <c r="I5" s="36"/>
      <c r="J5" s="36"/>
      <c r="K5" s="36"/>
      <c r="L5" s="36"/>
      <c r="M5" s="36"/>
      <c r="N5" s="25"/>
      <c r="O5" s="25"/>
      <c r="P5" s="25"/>
      <c r="Q5" s="25"/>
      <c r="R5" s="25"/>
      <c r="S5" s="25"/>
    </row>
    <row r="6" spans="1:19" ht="51" customHeight="1" thickBot="1">
      <c r="A6" s="37" t="s">
        <v>24</v>
      </c>
      <c r="B6" s="38" t="s">
        <v>25</v>
      </c>
      <c r="C6" s="39"/>
      <c r="D6" s="40"/>
      <c r="E6" s="39"/>
      <c r="F6" s="39">
        <v>7350</v>
      </c>
      <c r="G6" s="39">
        <v>4200</v>
      </c>
      <c r="H6" s="41">
        <f>SUM(F6:G6)</f>
        <v>11550</v>
      </c>
      <c r="I6" s="36"/>
      <c r="J6" s="36"/>
      <c r="K6" s="36"/>
      <c r="L6" s="36"/>
      <c r="M6" s="36"/>
      <c r="N6" s="25"/>
      <c r="O6" s="25"/>
      <c r="P6" s="25"/>
      <c r="Q6" s="25"/>
      <c r="R6" s="25"/>
      <c r="S6" s="25"/>
    </row>
    <row r="7" spans="1:19" ht="73.5" customHeight="1">
      <c r="A7" s="42" t="s">
        <v>26</v>
      </c>
      <c r="B7" s="27" t="s">
        <v>27</v>
      </c>
      <c r="C7" s="43">
        <f>C8*1000000/C5/12</f>
        <v>135.55881656401786</v>
      </c>
      <c r="D7" s="44">
        <f>D8*1000000/D5/12</f>
        <v>158.71305788798793</v>
      </c>
      <c r="E7" s="43">
        <f>E8*1000000/E5/12</f>
        <v>64.80532550663526</v>
      </c>
      <c r="F7" s="43">
        <f>F8*1000000/F6/6</f>
        <v>219.21474333052575</v>
      </c>
      <c r="G7" s="43">
        <f>G8*1000000/G6/6</f>
        <v>169.24807315093335</v>
      </c>
      <c r="H7" s="45"/>
      <c r="I7" s="36"/>
      <c r="J7" s="36"/>
      <c r="K7" s="36"/>
      <c r="L7" s="36"/>
      <c r="M7" s="36"/>
      <c r="N7" s="25"/>
      <c r="O7" s="25"/>
      <c r="P7" s="25"/>
      <c r="Q7" s="25"/>
      <c r="R7" s="25"/>
      <c r="S7" s="25"/>
    </row>
    <row r="8" spans="1:19" ht="54.75" customHeight="1" thickBot="1">
      <c r="A8" s="46" t="s">
        <v>0</v>
      </c>
      <c r="B8" s="47" t="s">
        <v>1</v>
      </c>
      <c r="C8" s="48">
        <f>'[4]50 stock-franchMV-1,4SMIC'!C7</f>
        <v>286.3256786981339</v>
      </c>
      <c r="D8" s="49">
        <f>'[4]50 stock-franchMV-1,4SMIC'!D7</f>
        <v>125.8463118768507</v>
      </c>
      <c r="E8" s="48">
        <f>'[4]50 stock-franchMV-1,4SMIC'!E7</f>
        <v>4.046185303332279</v>
      </c>
      <c r="F8" s="48">
        <f>'[4]Entrées Gér hosp-135 (2)'!J9/1000000</f>
        <v>9.667370180876187</v>
      </c>
      <c r="G8" s="48">
        <f>'[4]entrées Grce priv-135 (2)'!J9/1000000</f>
        <v>4.265051443403521</v>
      </c>
      <c r="H8" s="50">
        <f>C8+D8+E8+F8+G8</f>
        <v>430.1505975025966</v>
      </c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</row>
    <row r="9" spans="1:19" ht="63.75" customHeight="1" thickBot="1">
      <c r="A9" s="51" t="s">
        <v>2</v>
      </c>
      <c r="B9" s="52" t="s">
        <v>68</v>
      </c>
      <c r="C9" s="53">
        <f>'[4]franchise MV seuil 1,4 SMIC'!B31/1000000+'[4]prél TE-TPSA au dessus 1,4SMIC'!T11/1000000</f>
        <v>41.599480894335386</v>
      </c>
      <c r="D9" s="54">
        <f>'[4]franchise MV seuil 1,4 SMIC'!E31/1000000+'[4]prél TE-TPSA au dessus 1,4SMIC'!T9/1000000</f>
        <v>4.461039138812229</v>
      </c>
      <c r="E9" s="4">
        <f>'[4]50 stock-franchMV-1,4SMIC'!E8</f>
        <v>1.1757185662580167</v>
      </c>
      <c r="F9" s="55">
        <f>('[4]50 stock-franchMV-1,4SMIC'!F8)*0.1</f>
        <v>1.2771373960434012</v>
      </c>
      <c r="G9" s="55">
        <f>('[4]50 stock-franchMV-1,4SMIC'!G8)*0.1</f>
        <v>1.5570801942649424</v>
      </c>
      <c r="H9" s="56">
        <f>C9+D9+E9+F9+G9</f>
        <v>50.07045618971397</v>
      </c>
      <c r="I9" s="36"/>
      <c r="J9" s="36"/>
      <c r="K9" s="36"/>
      <c r="L9" s="36"/>
      <c r="M9" s="36"/>
      <c r="N9" s="25"/>
      <c r="O9" s="25"/>
      <c r="P9" s="25"/>
      <c r="Q9" s="25"/>
      <c r="R9" s="25"/>
      <c r="S9" s="25"/>
    </row>
    <row r="10" spans="1:19" ht="42.75" customHeight="1" thickBot="1">
      <c r="A10" s="51" t="s">
        <v>3</v>
      </c>
      <c r="B10" s="57" t="s">
        <v>4</v>
      </c>
      <c r="C10" s="58">
        <f>C8-C9</f>
        <v>244.72619780379853</v>
      </c>
      <c r="D10" s="5">
        <f>D8-D9</f>
        <v>121.38527273803848</v>
      </c>
      <c r="E10" s="58">
        <f>E8-E9</f>
        <v>2.870466737074262</v>
      </c>
      <c r="F10" s="58">
        <f>F8-F9</f>
        <v>8.390232784832786</v>
      </c>
      <c r="G10" s="58">
        <f>G8-G9</f>
        <v>2.7079712491385783</v>
      </c>
      <c r="H10" s="59">
        <f>C10+D10+E10+F10+G10</f>
        <v>380.0801413128826</v>
      </c>
      <c r="I10" s="36"/>
      <c r="J10" s="36"/>
      <c r="K10" s="36"/>
      <c r="L10" s="36"/>
      <c r="M10" s="36"/>
      <c r="N10" s="25"/>
      <c r="O10" s="25"/>
      <c r="P10" s="25"/>
      <c r="Q10" s="25"/>
      <c r="R10" s="25"/>
      <c r="S10" s="25"/>
    </row>
    <row r="11" spans="1:19" s="68" customFormat="1" ht="61.5" customHeight="1">
      <c r="A11" s="60" t="s">
        <v>28</v>
      </c>
      <c r="B11" s="61" t="s">
        <v>29</v>
      </c>
      <c r="C11" s="62">
        <f>'[4]50 stock-franchMV-1,4SMIC'!C10</f>
        <v>167.06162164835968</v>
      </c>
      <c r="D11" s="63">
        <f>'[4]50 stock-franchMV-1,4SMIC'!D10</f>
        <v>148.56689563526012</v>
      </c>
      <c r="E11" s="64">
        <v>0</v>
      </c>
      <c r="F11" s="64">
        <f>'[4]50 stock-franchMV-1,4SMIC'!F10*0.1</f>
        <v>5.2027091203665385</v>
      </c>
      <c r="G11" s="64">
        <v>0</v>
      </c>
      <c r="H11" s="65">
        <f>C11+D11+E11+F11+G11</f>
        <v>320.8312264039863</v>
      </c>
      <c r="I11" s="66"/>
      <c r="J11" s="66"/>
      <c r="K11" s="66"/>
      <c r="L11" s="66"/>
      <c r="M11" s="66"/>
      <c r="N11" s="67"/>
      <c r="O11" s="67"/>
      <c r="P11" s="67"/>
      <c r="Q11" s="67"/>
      <c r="R11" s="67"/>
      <c r="S11" s="67"/>
    </row>
    <row r="12" spans="1:19" s="68" customFormat="1" ht="51.75" customHeight="1" thickBot="1">
      <c r="A12" s="46" t="s">
        <v>5</v>
      </c>
      <c r="B12" s="47" t="s">
        <v>6</v>
      </c>
      <c r="C12" s="69">
        <f>C10-C11</f>
        <v>77.66457615543885</v>
      </c>
      <c r="D12" s="70">
        <f>D10-D11</f>
        <v>-27.181622897221644</v>
      </c>
      <c r="E12" s="69">
        <f>E10-E11</f>
        <v>2.870466737074262</v>
      </c>
      <c r="F12" s="69">
        <f>F10-F11</f>
        <v>3.187523664466248</v>
      </c>
      <c r="G12" s="69">
        <f>G10-G11</f>
        <v>2.7079712491385783</v>
      </c>
      <c r="H12" s="50">
        <f>C12+D12+E12+F12+G12</f>
        <v>59.248914908896296</v>
      </c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</row>
    <row r="13" spans="2:19" s="68" customFormat="1" ht="36.75" customHeight="1">
      <c r="B13" s="71"/>
      <c r="C13" s="72"/>
      <c r="D13" s="72"/>
      <c r="E13" s="72"/>
      <c r="F13" s="72"/>
      <c r="G13" s="72"/>
      <c r="H13" s="90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&amp;L&amp;"Arial,Gras"&amp;UAnnexe 17 - H 3 -&amp;"Arial,Normal"&amp;UCotation DGAS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1134">
    <pageSetUpPr fitToPage="1"/>
  </sheetPr>
  <dimension ref="A1:S1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6.140625" style="17" customWidth="1"/>
    <col min="2" max="2" width="38.7109375" style="17" customWidth="1"/>
    <col min="3" max="3" width="17.57421875" style="17" customWidth="1"/>
    <col min="4" max="4" width="18.421875" style="17" customWidth="1"/>
    <col min="5" max="5" width="21.00390625" style="17" customWidth="1"/>
    <col min="6" max="6" width="19.421875" style="17" customWidth="1"/>
    <col min="7" max="7" width="19.00390625" style="17" customWidth="1"/>
    <col min="8" max="8" width="18.00390625" style="17" customWidth="1"/>
    <col min="9" max="16384" width="9.8515625" style="17" customWidth="1"/>
  </cols>
  <sheetData>
    <row r="1" spans="1:8" ht="48" customHeight="1">
      <c r="A1" s="138" t="s">
        <v>15</v>
      </c>
      <c r="B1" s="139"/>
      <c r="C1" s="139"/>
      <c r="D1" s="139"/>
      <c r="E1" s="139"/>
      <c r="F1" s="139"/>
      <c r="G1" s="139"/>
      <c r="H1" s="139"/>
    </row>
    <row r="2" spans="1:7" ht="15.75" customHeight="1" thickBot="1">
      <c r="A2" s="17" t="s">
        <v>56</v>
      </c>
      <c r="B2" s="18"/>
      <c r="C2" s="18"/>
      <c r="D2" s="18"/>
      <c r="E2" s="18"/>
      <c r="F2" s="19"/>
      <c r="G2" s="18"/>
    </row>
    <row r="3" spans="2:19" ht="33.75" customHeight="1" thickBot="1">
      <c r="B3" s="20"/>
      <c r="C3" s="21" t="s">
        <v>16</v>
      </c>
      <c r="D3" s="22" t="s">
        <v>13</v>
      </c>
      <c r="E3" s="23" t="s">
        <v>17</v>
      </c>
      <c r="F3" s="23" t="s">
        <v>18</v>
      </c>
      <c r="G3" s="23" t="s">
        <v>14</v>
      </c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9.5" customHeight="1">
      <c r="A4" s="26" t="s">
        <v>20</v>
      </c>
      <c r="B4" s="27" t="s">
        <v>21</v>
      </c>
      <c r="C4" s="28">
        <f>'[3]45 stock-franchMV-1,5SMIC'!C4</f>
        <v>184093.460208</v>
      </c>
      <c r="D4" s="29">
        <f>'[3]45 stock-franchMV-1,5SMIC'!D4</f>
        <v>66437.865</v>
      </c>
      <c r="E4" s="28">
        <f>'[3]45 stock-franchMV-1,5SMIC'!E4</f>
        <v>5203</v>
      </c>
      <c r="F4" s="28">
        <f>'[3]45 stock-franchMV-1,5SMIC'!F4</f>
        <v>77000</v>
      </c>
      <c r="G4" s="28">
        <f>'[3]45 stock-franchMV-1,5SMIC'!G4</f>
        <v>44000</v>
      </c>
      <c r="H4" s="30">
        <f>SUM(C4:G4)</f>
        <v>376734.325208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5" customHeight="1">
      <c r="A5" s="31" t="s">
        <v>22</v>
      </c>
      <c r="B5" s="32" t="s">
        <v>23</v>
      </c>
      <c r="C5" s="33">
        <f>'[3]45 stock-franchMV-1,5SMIC'!C5</f>
        <v>176015.650104</v>
      </c>
      <c r="D5" s="34">
        <f>'[3]45 stock-franchMV-1,5SMIC'!D5</f>
        <v>66076.4325</v>
      </c>
      <c r="E5" s="33">
        <f>'[3]45 stock-franchMV-1,5SMIC'!E5</f>
        <v>5203</v>
      </c>
      <c r="F5" s="33"/>
      <c r="G5" s="33"/>
      <c r="H5" s="35">
        <f>SUM(C5:E5)</f>
        <v>247295.082604</v>
      </c>
      <c r="I5" s="36"/>
      <c r="J5" s="36"/>
      <c r="K5" s="36"/>
      <c r="L5" s="36"/>
      <c r="M5" s="36"/>
      <c r="N5" s="25"/>
      <c r="O5" s="25"/>
      <c r="P5" s="25"/>
      <c r="Q5" s="25"/>
      <c r="R5" s="25"/>
      <c r="S5" s="25"/>
    </row>
    <row r="6" spans="1:19" ht="51" customHeight="1" thickBot="1">
      <c r="A6" s="37" t="s">
        <v>24</v>
      </c>
      <c r="B6" s="38" t="s">
        <v>25</v>
      </c>
      <c r="C6" s="39"/>
      <c r="D6" s="40"/>
      <c r="E6" s="39"/>
      <c r="F6" s="39">
        <v>7350</v>
      </c>
      <c r="G6" s="39">
        <v>4200</v>
      </c>
      <c r="H6" s="41">
        <f>SUM(F6:G6)</f>
        <v>11550</v>
      </c>
      <c r="I6" s="36"/>
      <c r="J6" s="36"/>
      <c r="K6" s="36"/>
      <c r="L6" s="36"/>
      <c r="M6" s="36"/>
      <c r="N6" s="25"/>
      <c r="O6" s="25"/>
      <c r="P6" s="25"/>
      <c r="Q6" s="25"/>
      <c r="R6" s="25"/>
      <c r="S6" s="25"/>
    </row>
    <row r="7" spans="1:19" ht="73.5" customHeight="1">
      <c r="A7" s="42" t="s">
        <v>26</v>
      </c>
      <c r="B7" s="27" t="s">
        <v>27</v>
      </c>
      <c r="C7" s="43">
        <f>C8*1000000/C5/12</f>
        <v>144.48784040955195</v>
      </c>
      <c r="D7" s="44">
        <f>D8*1000000/D5/12</f>
        <v>169.16721140156793</v>
      </c>
      <c r="E7" s="43">
        <f>E8*1000000/E5/12</f>
        <v>69.0739397615633</v>
      </c>
      <c r="F7" s="43">
        <f>F8*1000000/F6/6</f>
        <v>233.09332303783586</v>
      </c>
      <c r="G7" s="43">
        <f>G8*1000000/G6/6</f>
        <v>187.95609690868721</v>
      </c>
      <c r="H7" s="45"/>
      <c r="I7" s="36"/>
      <c r="J7" s="36"/>
      <c r="K7" s="36"/>
      <c r="L7" s="36"/>
      <c r="M7" s="36"/>
      <c r="N7" s="25"/>
      <c r="O7" s="25"/>
      <c r="P7" s="25"/>
      <c r="Q7" s="25"/>
      <c r="R7" s="25"/>
      <c r="S7" s="25"/>
    </row>
    <row r="8" spans="1:19" ht="54.75" customHeight="1" thickBot="1">
      <c r="A8" s="46" t="s">
        <v>0</v>
      </c>
      <c r="B8" s="47" t="s">
        <v>1</v>
      </c>
      <c r="C8" s="48">
        <f>'[3]45 stock-franchMV-1,5SMIC'!C7</f>
        <v>305.18545394172344</v>
      </c>
      <c r="D8" s="49">
        <f>'[3]45 stock-franchMV-1,5SMIC'!D7</f>
        <v>134.1355899046672</v>
      </c>
      <c r="E8" s="48">
        <f>'[3]45 stock-franchMV-1,5SMIC'!E7</f>
        <v>4.312700502952966</v>
      </c>
      <c r="F8" s="48">
        <f>'[3]Entrées Gér hosp-135 (2)'!J9/1000000</f>
        <v>10.279415545968563</v>
      </c>
      <c r="G8" s="48">
        <f>'[3]entrées Grce priv-135 (2)'!J9/1000000</f>
        <v>4.736493642098917</v>
      </c>
      <c r="H8" s="50">
        <f>C8+D8+E8+F8+G8</f>
        <v>458.6496535374111</v>
      </c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</row>
    <row r="9" spans="1:19" ht="63.75" customHeight="1" thickBot="1">
      <c r="A9" s="51" t="s">
        <v>2</v>
      </c>
      <c r="B9" s="52" t="s">
        <v>66</v>
      </c>
      <c r="C9" s="53">
        <f>'[3]prélfranchise MV seuil 1,5 SMIC'!B31/1000000+'[3]prél TE-TPSA au dessus 1,5SMIC'!T11/1000000</f>
        <v>39.63028252410049</v>
      </c>
      <c r="D9" s="54">
        <f>'[3]prélfranchise MV seuil 1,5 SMIC'!E31/1000000+'[3]prél TE-TPSA au dessus 1,5SMIC'!T9/1000000</f>
        <v>4.079430596014667</v>
      </c>
      <c r="E9" s="4">
        <f>'[3]45 stock-franchMV-1,5SMIC'!E8</f>
        <v>1.1200634706953827</v>
      </c>
      <c r="F9" s="55">
        <f>('[3]45 stock-franchMV-1,5SMIC'!F8)*0.1</f>
        <v>1.215938061505117</v>
      </c>
      <c r="G9" s="55">
        <f>('[3]45 stock-franchMV-1,5SMIC'!G8)*0.1</f>
        <v>1.5366469058350694</v>
      </c>
      <c r="H9" s="56">
        <f>C9+D9+E9+F9+G9</f>
        <v>47.58236155815072</v>
      </c>
      <c r="I9" s="36"/>
      <c r="J9" s="36"/>
      <c r="K9" s="36"/>
      <c r="L9" s="36"/>
      <c r="M9" s="36"/>
      <c r="N9" s="25"/>
      <c r="O9" s="25"/>
      <c r="P9" s="25"/>
      <c r="Q9" s="25"/>
      <c r="R9" s="25"/>
      <c r="S9" s="25"/>
    </row>
    <row r="10" spans="1:19" ht="42.75" customHeight="1" thickBot="1">
      <c r="A10" s="51" t="s">
        <v>3</v>
      </c>
      <c r="B10" s="57" t="s">
        <v>4</v>
      </c>
      <c r="C10" s="58">
        <f>C8-C9</f>
        <v>265.55517141762294</v>
      </c>
      <c r="D10" s="5">
        <f>D8-D9</f>
        <v>130.05615930865252</v>
      </c>
      <c r="E10" s="58">
        <f>E8-E9</f>
        <v>3.192637032257583</v>
      </c>
      <c r="F10" s="58">
        <f>F8-F9</f>
        <v>9.063477484463446</v>
      </c>
      <c r="G10" s="58">
        <f>G8-G9</f>
        <v>3.199846736263848</v>
      </c>
      <c r="H10" s="59">
        <f>C10+D10+E10+F10+G10</f>
        <v>411.06729197926035</v>
      </c>
      <c r="I10" s="36"/>
      <c r="J10" s="36"/>
      <c r="K10" s="36"/>
      <c r="L10" s="36"/>
      <c r="M10" s="36"/>
      <c r="N10" s="25"/>
      <c r="O10" s="25"/>
      <c r="P10" s="25"/>
      <c r="Q10" s="25"/>
      <c r="R10" s="25"/>
      <c r="S10" s="25"/>
    </row>
    <row r="11" spans="1:19" s="68" customFormat="1" ht="61.5" customHeight="1">
      <c r="A11" s="60" t="s">
        <v>28</v>
      </c>
      <c r="B11" s="61" t="s">
        <v>29</v>
      </c>
      <c r="C11" s="62">
        <f>'[3]45 stock-franchMV-1,5SMIC'!C10</f>
        <v>167.06162164835968</v>
      </c>
      <c r="D11" s="63">
        <f>'[3]45 stock-franchMV-1,5SMIC'!D10</f>
        <v>148.56689563526012</v>
      </c>
      <c r="E11" s="64">
        <v>0</v>
      </c>
      <c r="F11" s="64">
        <f>'[3]45 stock-franchMV-1,5SMIC'!F10*0.1</f>
        <v>5.2027091203665385</v>
      </c>
      <c r="G11" s="64">
        <v>0</v>
      </c>
      <c r="H11" s="65">
        <f>C11+D11+E11+F11+G11</f>
        <v>320.8312264039863</v>
      </c>
      <c r="I11" s="66"/>
      <c r="J11" s="66"/>
      <c r="K11" s="66"/>
      <c r="L11" s="66"/>
      <c r="M11" s="66"/>
      <c r="N11" s="67"/>
      <c r="O11" s="67"/>
      <c r="P11" s="67"/>
      <c r="Q11" s="67"/>
      <c r="R11" s="67"/>
      <c r="S11" s="67"/>
    </row>
    <row r="12" spans="1:19" s="68" customFormat="1" ht="51.75" customHeight="1" thickBot="1">
      <c r="A12" s="46" t="s">
        <v>5</v>
      </c>
      <c r="B12" s="47" t="s">
        <v>6</v>
      </c>
      <c r="C12" s="69">
        <f>C10-C11</f>
        <v>98.49354976926327</v>
      </c>
      <c r="D12" s="70">
        <f>D10-D11</f>
        <v>-18.5107363266076</v>
      </c>
      <c r="E12" s="69">
        <f>E10-E11</f>
        <v>3.192637032257583</v>
      </c>
      <c r="F12" s="69">
        <f>F10-F11</f>
        <v>3.8607683640969075</v>
      </c>
      <c r="G12" s="69">
        <f>G10-G11</f>
        <v>3.199846736263848</v>
      </c>
      <c r="H12" s="50">
        <f>C12+D12+E12+F12+G12</f>
        <v>90.23606557527401</v>
      </c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</row>
    <row r="13" spans="2:19" s="68" customFormat="1" ht="36.75" customHeight="1">
      <c r="B13" s="71"/>
      <c r="C13" s="72"/>
      <c r="D13" s="72"/>
      <c r="E13" s="72"/>
      <c r="F13" s="72"/>
      <c r="G13" s="72"/>
      <c r="H13" s="90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&amp;L&amp;"Arial,Gras"&amp;UAnnexe 17 - H 4- &amp;"Arial,Normal"&amp;UCotation DGAS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1132">
    <pageSetUpPr fitToPage="1"/>
  </sheetPr>
  <dimension ref="A1:S13"/>
  <sheetViews>
    <sheetView zoomScale="75" zoomScaleNormal="75" workbookViewId="0" topLeftCell="A7">
      <selection activeCell="D7" sqref="D7"/>
    </sheetView>
  </sheetViews>
  <sheetFormatPr defaultColWidth="11.421875" defaultRowHeight="12.75"/>
  <cols>
    <col min="1" max="1" width="16.140625" style="17" customWidth="1"/>
    <col min="2" max="2" width="38.7109375" style="17" customWidth="1"/>
    <col min="3" max="3" width="17.57421875" style="17" customWidth="1"/>
    <col min="4" max="4" width="18.421875" style="17" customWidth="1"/>
    <col min="5" max="5" width="21.00390625" style="17" customWidth="1"/>
    <col min="6" max="6" width="19.421875" style="17" customWidth="1"/>
    <col min="7" max="7" width="19.00390625" style="17" customWidth="1"/>
    <col min="8" max="8" width="18.00390625" style="17" customWidth="1"/>
    <col min="9" max="16384" width="9.8515625" style="17" customWidth="1"/>
  </cols>
  <sheetData>
    <row r="1" spans="1:8" ht="48" customHeight="1">
      <c r="A1" s="138" t="s">
        <v>15</v>
      </c>
      <c r="B1" s="139"/>
      <c r="C1" s="139"/>
      <c r="D1" s="139"/>
      <c r="E1" s="139"/>
      <c r="F1" s="139"/>
      <c r="G1" s="139"/>
      <c r="H1" s="139"/>
    </row>
    <row r="2" spans="1:7" ht="15.75" customHeight="1" thickBot="1">
      <c r="A2" s="17" t="s">
        <v>31</v>
      </c>
      <c r="B2" s="18"/>
      <c r="C2" s="18"/>
      <c r="D2" s="18"/>
      <c r="E2" s="18"/>
      <c r="F2" s="19"/>
      <c r="G2" s="18"/>
    </row>
    <row r="3" spans="1:19" ht="33.75" customHeight="1" thickBot="1">
      <c r="A3" s="130"/>
      <c r="B3" s="20"/>
      <c r="C3" s="21" t="s">
        <v>16</v>
      </c>
      <c r="D3" s="22" t="s">
        <v>13</v>
      </c>
      <c r="E3" s="23" t="s">
        <v>17</v>
      </c>
      <c r="F3" s="23" t="s">
        <v>18</v>
      </c>
      <c r="G3" s="23" t="s">
        <v>14</v>
      </c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49.5" customHeight="1">
      <c r="A4" s="26" t="s">
        <v>20</v>
      </c>
      <c r="B4" s="27" t="s">
        <v>21</v>
      </c>
      <c r="C4" s="28">
        <f>'[5]40 stock-franchMV-1,5SMIC'!C4</f>
        <v>184093.460208</v>
      </c>
      <c r="D4" s="29">
        <f>'[5]40 stock-franchMV-1,5SMIC'!D4</f>
        <v>66437.865</v>
      </c>
      <c r="E4" s="28">
        <f>'[5]40 stock-franchMV-1,5SMIC'!E4</f>
        <v>5203</v>
      </c>
      <c r="F4" s="28">
        <f>'[5]40 stock-franchMV-1,5SMIC'!F4</f>
        <v>77000</v>
      </c>
      <c r="G4" s="28">
        <f>'[5]40 stock-franchMV-1,5SMIC'!G4</f>
        <v>44000</v>
      </c>
      <c r="H4" s="30">
        <f>SUM(C4:G4)</f>
        <v>376734.325208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45" customHeight="1">
      <c r="A5" s="31" t="s">
        <v>22</v>
      </c>
      <c r="B5" s="32" t="s">
        <v>23</v>
      </c>
      <c r="C5" s="33">
        <f>'[5]40 stock-franchMV-1,5SMIC'!C5</f>
        <v>176015.650104</v>
      </c>
      <c r="D5" s="34">
        <f>'[5]40 stock-franchMV-1,5SMIC'!D5</f>
        <v>66076.4325</v>
      </c>
      <c r="E5" s="33">
        <f>'[5]40 stock-franchMV-1,5SMIC'!E5</f>
        <v>5203</v>
      </c>
      <c r="F5" s="33"/>
      <c r="G5" s="33"/>
      <c r="H5" s="35">
        <f>SUM(C5:E5)</f>
        <v>247295.082604</v>
      </c>
      <c r="I5" s="36"/>
      <c r="J5" s="36"/>
      <c r="K5" s="36"/>
      <c r="L5" s="36"/>
      <c r="M5" s="36"/>
      <c r="N5" s="25"/>
      <c r="O5" s="25"/>
      <c r="P5" s="25"/>
      <c r="Q5" s="25"/>
      <c r="R5" s="25"/>
      <c r="S5" s="25"/>
    </row>
    <row r="6" spans="1:19" ht="51" customHeight="1" thickBot="1">
      <c r="A6" s="37" t="s">
        <v>24</v>
      </c>
      <c r="B6" s="38" t="s">
        <v>25</v>
      </c>
      <c r="C6" s="39"/>
      <c r="D6" s="40"/>
      <c r="E6" s="39"/>
      <c r="F6" s="39">
        <v>7350</v>
      </c>
      <c r="G6" s="39">
        <v>4200</v>
      </c>
      <c r="H6" s="41">
        <f>SUM(F6:G6)</f>
        <v>11550</v>
      </c>
      <c r="I6" s="36"/>
      <c r="J6" s="36"/>
      <c r="K6" s="36"/>
      <c r="L6" s="36"/>
      <c r="M6" s="36"/>
      <c r="N6" s="25"/>
      <c r="O6" s="25"/>
      <c r="P6" s="25"/>
      <c r="Q6" s="25"/>
      <c r="R6" s="25"/>
      <c r="S6" s="25"/>
    </row>
    <row r="7" spans="1:19" ht="73.5" customHeight="1">
      <c r="A7" s="42" t="s">
        <v>26</v>
      </c>
      <c r="B7" s="27" t="s">
        <v>27</v>
      </c>
      <c r="C7" s="43">
        <f>C8*1000000/C5/12</f>
        <v>152.60513481458295</v>
      </c>
      <c r="D7" s="44">
        <f>D8*1000000/D5/12</f>
        <v>178.67098732300437</v>
      </c>
      <c r="E7" s="43">
        <f>E8*1000000/E5/12</f>
        <v>72.95449817513428</v>
      </c>
      <c r="F7" s="43">
        <f>F8*1000000/F6/6</f>
        <v>246.18845354557945</v>
      </c>
      <c r="G7" s="43">
        <f>G8*1000000/G6/6</f>
        <v>210.25597281310772</v>
      </c>
      <c r="H7" s="45"/>
      <c r="I7" s="36"/>
      <c r="J7" s="36"/>
      <c r="K7" s="36"/>
      <c r="L7" s="36"/>
      <c r="M7" s="36"/>
      <c r="N7" s="25"/>
      <c r="O7" s="25"/>
      <c r="P7" s="25"/>
      <c r="Q7" s="25"/>
      <c r="R7" s="25"/>
      <c r="S7" s="25"/>
    </row>
    <row r="8" spans="1:19" ht="54.75" customHeight="1" thickBot="1">
      <c r="A8" s="46" t="s">
        <v>0</v>
      </c>
      <c r="B8" s="47" t="s">
        <v>1</v>
      </c>
      <c r="C8" s="48">
        <f>'[5]40 stock-franchMV-1,5SMIC'!C7</f>
        <v>322.3307041631686</v>
      </c>
      <c r="D8" s="49">
        <f>'[5]40 stock-franchMV-1,5SMIC'!D7</f>
        <v>141.67129720268224</v>
      </c>
      <c r="E8" s="48">
        <f>'[5]40 stock-franchMV-1,5SMIC'!E7</f>
        <v>4.554987048062684</v>
      </c>
      <c r="F8" s="48">
        <f>'[5]Entrées Gér hosp-135 (2)'!J9/1000000</f>
        <v>10.856910801360055</v>
      </c>
      <c r="G8" s="48">
        <f>'[5]entrées Grce priv-135 (2)'!J9/1000000</f>
        <v>5.298450514890314</v>
      </c>
      <c r="H8" s="50">
        <f>C8+D8+E8+F8+G8</f>
        <v>484.7123497301639</v>
      </c>
      <c r="I8" s="36"/>
      <c r="J8" s="36"/>
      <c r="K8" s="36"/>
      <c r="L8" s="36"/>
      <c r="M8" s="36"/>
      <c r="N8" s="25"/>
      <c r="O8" s="25"/>
      <c r="P8" s="25"/>
      <c r="Q8" s="25"/>
      <c r="R8" s="25"/>
      <c r="S8" s="25"/>
    </row>
    <row r="9" spans="1:19" ht="63.75" customHeight="1" thickBot="1">
      <c r="A9" s="51" t="s">
        <v>2</v>
      </c>
      <c r="B9" s="52" t="s">
        <v>65</v>
      </c>
      <c r="C9" s="53">
        <f>'[5]prélfranchise MV seuil 1,5 SMIC'!B31/1000000+'[5]prél TE-TPSA au dessus 1,5SMIC'!T11/1000000</f>
        <v>42.4329899186966</v>
      </c>
      <c r="D9" s="54">
        <f>'[5]prélfranchise MV seuil 1,5 SMIC'!E31/1000000+'[5]prél TE-TPSA au dessus 1,5SMIC'!T9/1000000</f>
        <v>4.374098829550949</v>
      </c>
      <c r="E9" s="4">
        <f>'[5]40 stock-franchMV-1,5SMIC'!E8</f>
        <v>1.199275880292157</v>
      </c>
      <c r="F9" s="55">
        <f>('[5]40 stock-franchMV-1,5SMIC'!F8)*0.1</f>
        <v>1.301726647902646</v>
      </c>
      <c r="G9" s="55">
        <f>('[5]40 stock-franchMV-1,5SMIC'!G8)*0.1</f>
        <v>1.638054174167246</v>
      </c>
      <c r="H9" s="56">
        <f>C9+D9+E9+F9+G9</f>
        <v>50.9461454506096</v>
      </c>
      <c r="I9" s="36"/>
      <c r="J9" s="36"/>
      <c r="K9" s="36"/>
      <c r="L9" s="36"/>
      <c r="M9" s="36"/>
      <c r="N9" s="25"/>
      <c r="O9" s="25"/>
      <c r="P9" s="25"/>
      <c r="Q9" s="25"/>
      <c r="R9" s="25"/>
      <c r="S9" s="25"/>
    </row>
    <row r="10" spans="1:19" ht="42.75" customHeight="1" thickBot="1">
      <c r="A10" s="51" t="s">
        <v>3</v>
      </c>
      <c r="B10" s="57" t="s">
        <v>4</v>
      </c>
      <c r="C10" s="58">
        <f>C8-C9</f>
        <v>279.897714244472</v>
      </c>
      <c r="D10" s="5">
        <f>D8-D9</f>
        <v>137.2971983731313</v>
      </c>
      <c r="E10" s="58">
        <f>E8-E9</f>
        <v>3.355711167770527</v>
      </c>
      <c r="F10" s="58">
        <f>F8-F9</f>
        <v>9.55518415345741</v>
      </c>
      <c r="G10" s="58">
        <f>G8-G9</f>
        <v>3.660396340723068</v>
      </c>
      <c r="H10" s="59">
        <f>C10+D10+E10+F10+G10</f>
        <v>433.76620427955436</v>
      </c>
      <c r="I10" s="36"/>
      <c r="J10" s="36"/>
      <c r="K10" s="36"/>
      <c r="L10" s="36"/>
      <c r="M10" s="36"/>
      <c r="N10" s="25"/>
      <c r="O10" s="25"/>
      <c r="P10" s="25"/>
      <c r="Q10" s="25"/>
      <c r="R10" s="25"/>
      <c r="S10" s="25"/>
    </row>
    <row r="11" spans="1:19" s="68" customFormat="1" ht="61.5" customHeight="1">
      <c r="A11" s="60" t="s">
        <v>28</v>
      </c>
      <c r="B11" s="61" t="s">
        <v>29</v>
      </c>
      <c r="C11" s="62">
        <f>'[5]40 stock-franchMV-1,5SMIC'!C10</f>
        <v>167.06162164835968</v>
      </c>
      <c r="D11" s="63">
        <f>'[5]40 stock-franchMV-1,5SMIC'!D10</f>
        <v>148.56689563526012</v>
      </c>
      <c r="E11" s="64">
        <v>0</v>
      </c>
      <c r="F11" s="64">
        <f>'[5]40 stock-franchMV-1,5SMIC'!F10*0.1</f>
        <v>5.2027091203665385</v>
      </c>
      <c r="G11" s="64">
        <v>0</v>
      </c>
      <c r="H11" s="65">
        <f>C11+D11+E11+F11+G11</f>
        <v>320.8312264039863</v>
      </c>
      <c r="I11" s="66"/>
      <c r="J11" s="66"/>
      <c r="K11" s="66"/>
      <c r="L11" s="66"/>
      <c r="M11" s="66"/>
      <c r="N11" s="67"/>
      <c r="O11" s="67"/>
      <c r="P11" s="67"/>
      <c r="Q11" s="67"/>
      <c r="R11" s="67"/>
      <c r="S11" s="67"/>
    </row>
    <row r="12" spans="1:19" s="68" customFormat="1" ht="51.75" customHeight="1" thickBot="1">
      <c r="A12" s="46" t="s">
        <v>5</v>
      </c>
      <c r="B12" s="47" t="s">
        <v>6</v>
      </c>
      <c r="C12" s="69">
        <f>C10-C11</f>
        <v>112.83609259611234</v>
      </c>
      <c r="D12" s="70">
        <f>D10-D11</f>
        <v>-11.26969726212883</v>
      </c>
      <c r="E12" s="69">
        <f>E10-E11</f>
        <v>3.355711167770527</v>
      </c>
      <c r="F12" s="69">
        <f>F10-F11</f>
        <v>4.352475033090871</v>
      </c>
      <c r="G12" s="69">
        <f>G10-G11</f>
        <v>3.660396340723068</v>
      </c>
      <c r="H12" s="50">
        <f>C12+D12+E12+F12+G12</f>
        <v>112.93497787556797</v>
      </c>
      <c r="I12" s="66"/>
      <c r="J12" s="66"/>
      <c r="K12" s="66"/>
      <c r="L12" s="66"/>
      <c r="M12" s="66"/>
      <c r="N12" s="67"/>
      <c r="O12" s="67"/>
      <c r="P12" s="67"/>
      <c r="Q12" s="67"/>
      <c r="R12" s="67"/>
      <c r="S12" s="67"/>
    </row>
    <row r="13" spans="2:19" s="68" customFormat="1" ht="36.75" customHeight="1">
      <c r="B13" s="71"/>
      <c r="C13" s="72"/>
      <c r="D13" s="72"/>
      <c r="E13" s="72"/>
      <c r="F13" s="72"/>
      <c r="G13" s="72"/>
      <c r="H13" s="90"/>
      <c r="I13" s="66"/>
      <c r="J13" s="66"/>
      <c r="K13" s="66"/>
      <c r="L13" s="66"/>
      <c r="M13" s="66"/>
      <c r="N13" s="67"/>
      <c r="O13" s="67"/>
      <c r="P13" s="67"/>
      <c r="Q13" s="67"/>
      <c r="R13" s="67"/>
      <c r="S13" s="67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&amp;L&amp;"Arial,Gras"&amp;UAnnexe 17- H 5- &amp;"Arial,Normal"&amp;UCotation DGAS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C1">
      <selection activeCell="D7" sqref="D7"/>
    </sheetView>
  </sheetViews>
  <sheetFormatPr defaultColWidth="11.421875" defaultRowHeight="12.75"/>
  <cols>
    <col min="1" max="1" width="11.421875" style="73" customWidth="1"/>
    <col min="2" max="2" width="40.57421875" style="73" customWidth="1"/>
    <col min="3" max="3" width="24.140625" style="73" customWidth="1"/>
    <col min="4" max="4" width="24.7109375" style="73" customWidth="1"/>
    <col min="5" max="5" width="23.140625" style="73" customWidth="1"/>
    <col min="6" max="6" width="23.7109375" style="73" customWidth="1"/>
    <col min="7" max="7" width="21.28125" style="74" customWidth="1"/>
    <col min="8" max="16384" width="9.8515625" style="73" customWidth="1"/>
  </cols>
  <sheetData>
    <row r="1" spans="1:7" ht="43.5" customHeight="1" thickBot="1">
      <c r="A1" s="140" t="s">
        <v>58</v>
      </c>
      <c r="B1" s="135"/>
      <c r="C1" s="76" t="s">
        <v>38</v>
      </c>
      <c r="D1" s="16" t="s">
        <v>40</v>
      </c>
      <c r="E1" s="15" t="s">
        <v>33</v>
      </c>
      <c r="F1" s="76" t="s">
        <v>41</v>
      </c>
      <c r="G1" s="76" t="s">
        <v>32</v>
      </c>
    </row>
    <row r="2" spans="1:7" ht="29.25" customHeight="1" thickBot="1">
      <c r="A2" s="134" t="s">
        <v>57</v>
      </c>
      <c r="B2" s="133"/>
      <c r="C2" s="14" t="s">
        <v>9</v>
      </c>
      <c r="D2" s="77" t="s">
        <v>10</v>
      </c>
      <c r="E2" s="14" t="s">
        <v>11</v>
      </c>
      <c r="F2" s="14" t="s">
        <v>12</v>
      </c>
      <c r="G2" s="14" t="s">
        <v>39</v>
      </c>
    </row>
    <row r="3" spans="1:7" ht="65.25" customHeight="1" thickBot="1">
      <c r="A3" s="1"/>
      <c r="B3" s="2"/>
      <c r="C3" s="3" t="s">
        <v>42</v>
      </c>
      <c r="D3" s="78" t="s">
        <v>43</v>
      </c>
      <c r="E3" s="3" t="s">
        <v>45</v>
      </c>
      <c r="F3" s="23" t="s">
        <v>44</v>
      </c>
      <c r="G3" s="23" t="s">
        <v>34</v>
      </c>
    </row>
    <row r="4" spans="1:7" ht="56.25" customHeight="1" thickBot="1">
      <c r="A4" s="6" t="s">
        <v>0</v>
      </c>
      <c r="B4" s="7" t="s">
        <v>1</v>
      </c>
      <c r="C4" s="4">
        <f>'Annexe 13 -H 1'!H7</f>
        <v>478.49582437317866</v>
      </c>
      <c r="D4" s="79">
        <f>'Annexe 13-H 2'!H7</f>
        <v>515.1017206142363</v>
      </c>
      <c r="E4" s="4">
        <f>'Annexe 13-H 3'!H7</f>
        <v>549.587724436461</v>
      </c>
      <c r="F4" s="4">
        <f>'Annexe 13 - H 4'!H7</f>
        <v>587.7104779601738</v>
      </c>
      <c r="G4" s="82">
        <f>'Annexe 13 - H 5'!H7</f>
        <v>623.7133390650536</v>
      </c>
    </row>
    <row r="5" spans="1:7" ht="51" customHeight="1" thickBot="1">
      <c r="A5" s="8" t="s">
        <v>2</v>
      </c>
      <c r="B5" s="9" t="s">
        <v>8</v>
      </c>
      <c r="C5" s="4">
        <f>'Annexe 13 -H 1'!H8</f>
        <v>63.573968945995546</v>
      </c>
      <c r="D5" s="79">
        <f>'Annexe 13-H 2'!H8</f>
        <v>69.905335354962</v>
      </c>
      <c r="E5" s="4">
        <f>'Annexe 13-H 3'!H8</f>
        <v>75.57841450248907</v>
      </c>
      <c r="F5" s="4">
        <f>'Annexe 13 - H 4'!H8</f>
        <v>72.35562626421239</v>
      </c>
      <c r="G5" s="82">
        <f>'Annexe 13 - H 5'!H8</f>
        <v>77.40417284923862</v>
      </c>
    </row>
    <row r="6" spans="1:7" ht="56.25" customHeight="1" thickBot="1">
      <c r="A6" s="8" t="s">
        <v>3</v>
      </c>
      <c r="B6" s="10" t="s">
        <v>4</v>
      </c>
      <c r="C6" s="4">
        <f>'Annexe 13 -H 1'!H9</f>
        <v>414.9218554271831</v>
      </c>
      <c r="D6" s="79">
        <f>'Annexe 13-H 2'!H9</f>
        <v>445.19638525927434</v>
      </c>
      <c r="E6" s="4">
        <f>'Annexe 13-H 3'!H9</f>
        <v>474.00930993397196</v>
      </c>
      <c r="F6" s="4">
        <f>'Annexe 13 - H 4'!H9</f>
        <v>515.3548516959613</v>
      </c>
      <c r="G6" s="82">
        <f>'Annexe 13 - H 5'!H9</f>
        <v>546.3091662158149</v>
      </c>
    </row>
    <row r="7" spans="1:7" ht="62.25" customHeight="1" thickBot="1">
      <c r="A7" s="113" t="s">
        <v>28</v>
      </c>
      <c r="B7" s="61" t="s">
        <v>29</v>
      </c>
      <c r="C7" s="131">
        <f>'Annexe 13 -H 1'!$H$10</f>
        <v>367.6556084872851</v>
      </c>
      <c r="D7" s="131">
        <f>'Annexe 13 -H 1'!$H$10</f>
        <v>367.6556084872851</v>
      </c>
      <c r="E7" s="131">
        <f>'Annexe 13 -H 1'!$H$10</f>
        <v>367.6556084872851</v>
      </c>
      <c r="F7" s="131">
        <f>'Annexe 13 -H 1'!$H$10</f>
        <v>367.6556084872851</v>
      </c>
      <c r="G7" s="131">
        <f>'Annexe 13 -H 1'!$H$10</f>
        <v>367.6556084872851</v>
      </c>
    </row>
    <row r="8" spans="1:7" ht="57.75" customHeight="1" thickBot="1">
      <c r="A8" s="11" t="s">
        <v>5</v>
      </c>
      <c r="B8" s="12" t="s">
        <v>6</v>
      </c>
      <c r="C8" s="4">
        <f>C6-C7</f>
        <v>47.266246939898</v>
      </c>
      <c r="D8" s="4">
        <f>D6-D7</f>
        <v>77.54077677198921</v>
      </c>
      <c r="E8" s="4">
        <f>E6-E7</f>
        <v>106.35370144668684</v>
      </c>
      <c r="F8" s="4">
        <f>F6-F7</f>
        <v>147.6992432086762</v>
      </c>
      <c r="G8" s="4">
        <f>G6-G7</f>
        <v>178.6535577285298</v>
      </c>
    </row>
    <row r="9" spans="1:7" ht="47.25" customHeight="1" thickBot="1">
      <c r="A9" s="95"/>
      <c r="B9" s="80" t="s">
        <v>7</v>
      </c>
      <c r="C9" s="110">
        <f>'Annexe 13 -H 1'!C11+'Annexe 13 -H 1'!E11+'Annexe 13 -H 1'!F11+'Annexe 13 -H 1'!G11</f>
        <v>89.54827686256206</v>
      </c>
      <c r="D9" s="83">
        <f>'Annexe 13-H 2'!C11+'Annexe 13-H 2'!E11+'Annexe 13-H 2'!F11+'Annexe 13-H 2'!G11</f>
        <v>111.91296850486687</v>
      </c>
      <c r="E9" s="81">
        <f>'Annexe 13-H 3'!C11+'Annexe 13-H 3'!E11+'Annexe 13-H 3'!F11+'Annexe 13-H 3'!G11</f>
        <v>133.53532434390846</v>
      </c>
      <c r="F9" s="81">
        <f>'Annexe 13 - H 4'!C11+'Annexe 13 - H 4'!E11+'Annexe 13 - H 4'!F11+'Annexe 13 - H 4'!G11</f>
        <v>166.20997953528382</v>
      </c>
      <c r="G9" s="84">
        <f>'Annexe 13 - H 5'!C11+'Annexe 13 - H 5'!E11+'Annexe 13 - H 5'!F11+'Annexe 13 - H 5'!G11</f>
        <v>189.92325499065862</v>
      </c>
    </row>
    <row r="10" spans="1:7" ht="82.5" customHeight="1">
      <c r="A10" s="136" t="s">
        <v>35</v>
      </c>
      <c r="B10" s="91" t="s">
        <v>52</v>
      </c>
      <c r="C10" s="93">
        <f>C8-18.7</f>
        <v>28.566246939897997</v>
      </c>
      <c r="D10" s="93">
        <f>D8-18.7</f>
        <v>58.84077677198921</v>
      </c>
      <c r="E10" s="93">
        <f>E8-18.7</f>
        <v>87.65370144668684</v>
      </c>
      <c r="F10" s="93">
        <f>F8-18.7</f>
        <v>128.9992432086762</v>
      </c>
      <c r="G10" s="126">
        <f>G8-18.7</f>
        <v>159.9535577285298</v>
      </c>
    </row>
    <row r="11" spans="1:7" ht="80.25" customHeight="1" thickBot="1">
      <c r="A11" s="137"/>
      <c r="B11" s="92" t="s">
        <v>53</v>
      </c>
      <c r="C11" s="94">
        <f>C9-68.4</f>
        <v>21.148276862562057</v>
      </c>
      <c r="D11" s="94">
        <f>D9-68.4</f>
        <v>43.51296850486686</v>
      </c>
      <c r="E11" s="94">
        <f>E9-68.4</f>
        <v>65.13532434390845</v>
      </c>
      <c r="F11" s="94">
        <f>F9-68.4</f>
        <v>97.80997953528382</v>
      </c>
      <c r="G11" s="127">
        <f>G9-68.4</f>
        <v>121.52325499065861</v>
      </c>
    </row>
    <row r="12" ht="15.75">
      <c r="B12" s="13"/>
    </row>
    <row r="13" spans="2:7" ht="12.75">
      <c r="B13" s="13"/>
      <c r="C13" s="128"/>
      <c r="D13" s="96"/>
      <c r="E13" s="96"/>
      <c r="F13" s="96"/>
      <c r="G13" s="96"/>
    </row>
    <row r="14" ht="15.75">
      <c r="B14" s="13"/>
    </row>
  </sheetData>
  <mergeCells count="3">
    <mergeCell ref="A2:B2"/>
    <mergeCell ref="A1:B1"/>
    <mergeCell ref="A10:A1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">
    <pageSetUpPr fitToPage="1"/>
  </sheetPr>
  <dimension ref="A1:T12"/>
  <sheetViews>
    <sheetView zoomScale="75" zoomScaleNormal="75" workbookViewId="0" topLeftCell="A4">
      <selection activeCell="D7" sqref="D7"/>
    </sheetView>
  </sheetViews>
  <sheetFormatPr defaultColWidth="11.421875" defaultRowHeight="12.75"/>
  <cols>
    <col min="1" max="1" width="8.421875" style="1" customWidth="1"/>
    <col min="2" max="2" width="44.00390625" style="18" customWidth="1"/>
    <col min="3" max="3" width="17.7109375" style="18" customWidth="1"/>
    <col min="4" max="4" width="13.57421875" style="18" customWidth="1"/>
    <col min="5" max="5" width="14.28125" style="18" customWidth="1"/>
    <col min="6" max="6" width="14.7109375" style="18" customWidth="1"/>
    <col min="7" max="7" width="13.28125" style="18" customWidth="1"/>
    <col min="8" max="8" width="14.140625" style="18" customWidth="1"/>
    <col min="9" max="9" width="8.421875" style="18" bestFit="1" customWidth="1"/>
    <col min="10" max="16384" width="8.421875" style="18" customWidth="1"/>
  </cols>
  <sheetData>
    <row r="1" ht="18.75">
      <c r="A1" s="97" t="s">
        <v>49</v>
      </c>
    </row>
    <row r="2" ht="16.5" thickBot="1">
      <c r="A2" s="1" t="s">
        <v>54</v>
      </c>
    </row>
    <row r="3" spans="1:20" ht="50.25" customHeight="1" thickBot="1">
      <c r="A3" s="129" t="s">
        <v>59</v>
      </c>
      <c r="B3" s="2"/>
      <c r="C3" s="23" t="s">
        <v>16</v>
      </c>
      <c r="D3" s="23" t="s">
        <v>13</v>
      </c>
      <c r="E3" s="23" t="s">
        <v>17</v>
      </c>
      <c r="F3" s="23" t="s">
        <v>18</v>
      </c>
      <c r="G3" s="23" t="s">
        <v>14</v>
      </c>
      <c r="H3" s="98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36" customHeight="1">
      <c r="A4" s="100" t="s">
        <v>20</v>
      </c>
      <c r="B4" s="101" t="s">
        <v>21</v>
      </c>
      <c r="C4" s="28">
        <f>'[1]fiche budgétaire'!B27</f>
        <v>184093.460208</v>
      </c>
      <c r="D4" s="28">
        <f>'[1]fiche budgétaire'!D27</f>
        <v>66437.865</v>
      </c>
      <c r="E4" s="28">
        <f>'[1]fiche budgétaire'!E27</f>
        <v>5203</v>
      </c>
      <c r="F4" s="28">
        <f>'[1]fiche budgétaire'!F27</f>
        <v>77000</v>
      </c>
      <c r="G4" s="28">
        <f>'[1]fiche budgétaire'!G27</f>
        <v>44000</v>
      </c>
      <c r="H4" s="28">
        <f>SUM(C4:G4)</f>
        <v>376734.325208</v>
      </c>
      <c r="I4" s="102"/>
      <c r="J4" s="102"/>
      <c r="K4" s="102"/>
      <c r="L4" s="102"/>
      <c r="M4" s="102"/>
      <c r="N4" s="102"/>
      <c r="O4" s="99"/>
      <c r="P4" s="99"/>
      <c r="Q4" s="99"/>
      <c r="R4" s="99"/>
      <c r="S4" s="99"/>
      <c r="T4" s="99"/>
    </row>
    <row r="5" spans="1:20" ht="45.75" customHeight="1" thickBot="1">
      <c r="A5" s="103" t="s">
        <v>22</v>
      </c>
      <c r="B5" s="104" t="s">
        <v>23</v>
      </c>
      <c r="C5" s="39">
        <f>'[1]fiche budgétaire'!B28</f>
        <v>176015.650104</v>
      </c>
      <c r="D5" s="39">
        <f>'[1]fiche budgétaire'!D28</f>
        <v>66076.4325</v>
      </c>
      <c r="E5" s="39">
        <f>'[1]fiche budgétaire'!E28</f>
        <v>5203</v>
      </c>
      <c r="F5" s="39">
        <f>'[1]fiche budgétaire'!F28</f>
        <v>73500</v>
      </c>
      <c r="G5" s="39">
        <f>'[1]fiche budgétaire'!G28</f>
        <v>42000</v>
      </c>
      <c r="H5" s="39">
        <f>SUM(C5:G5)</f>
        <v>362795.082604</v>
      </c>
      <c r="I5" s="102"/>
      <c r="J5" s="102"/>
      <c r="K5" s="102"/>
      <c r="L5" s="102"/>
      <c r="M5" s="102"/>
      <c r="N5" s="102"/>
      <c r="O5" s="99"/>
      <c r="P5" s="99"/>
      <c r="Q5" s="99"/>
      <c r="R5" s="99"/>
      <c r="S5" s="99"/>
      <c r="T5" s="99"/>
    </row>
    <row r="6" spans="1:20" ht="57.75" customHeight="1" thickBot="1">
      <c r="A6" s="105" t="s">
        <v>50</v>
      </c>
      <c r="B6" s="106" t="s">
        <v>27</v>
      </c>
      <c r="C6" s="107">
        <f>C7*1000000/C5/12</f>
        <v>118.51249831345274</v>
      </c>
      <c r="D6" s="107">
        <f>D7*1000000/D5/12</f>
        <v>138.75512845297146</v>
      </c>
      <c r="E6" s="107">
        <f>E7*1000000/E5/12</f>
        <v>56.656152838136194</v>
      </c>
      <c r="F6" s="107">
        <f>F7*1000000/F5/12</f>
        <v>89.53908896949663</v>
      </c>
      <c r="G6" s="107">
        <f>G7*1000000/G5/12</f>
        <v>70.72020745905266</v>
      </c>
      <c r="H6" s="108"/>
      <c r="I6" s="102"/>
      <c r="J6" s="102"/>
      <c r="K6" s="102"/>
      <c r="L6" s="102"/>
      <c r="M6" s="102"/>
      <c r="N6" s="102"/>
      <c r="O6" s="99"/>
      <c r="P6" s="99"/>
      <c r="Q6" s="99"/>
      <c r="R6" s="99"/>
      <c r="S6" s="99"/>
      <c r="T6" s="99"/>
    </row>
    <row r="7" spans="1:20" ht="51" customHeight="1" thickBot="1">
      <c r="A7" s="105" t="s">
        <v>0</v>
      </c>
      <c r="B7" s="109" t="s">
        <v>1</v>
      </c>
      <c r="C7" s="110">
        <f>'[1]TE-CEet TPSA- 146€'!S11/1000000</f>
        <v>250.32065323309905</v>
      </c>
      <c r="D7" s="110">
        <f>'[1]TE-CEet TPSA- 146€'!S9/1000000</f>
        <v>110.02132655101917</v>
      </c>
      <c r="E7" s="110">
        <f>C7*E4/C4/2</f>
        <v>3.5373835586018716</v>
      </c>
      <c r="F7" s="110">
        <f>'[1]Gér hosp-146'!R9/1000000</f>
        <v>78.97347647109603</v>
      </c>
      <c r="G7" s="110">
        <f>'[1]Grce priv-abattement'!R9/1000000</f>
        <v>35.64298455936254</v>
      </c>
      <c r="H7" s="110">
        <f>SUM(C7:G7)</f>
        <v>478.49582437317866</v>
      </c>
      <c r="I7" s="102"/>
      <c r="J7" s="102"/>
      <c r="K7" s="102"/>
      <c r="L7" s="102"/>
      <c r="M7" s="102"/>
      <c r="N7" s="102"/>
      <c r="O7" s="99"/>
      <c r="P7" s="99"/>
      <c r="Q7" s="99"/>
      <c r="R7" s="99"/>
      <c r="S7" s="99"/>
      <c r="T7" s="99"/>
    </row>
    <row r="8" spans="1:20" ht="49.5" customHeight="1" thickBot="1">
      <c r="A8" s="111" t="s">
        <v>2</v>
      </c>
      <c r="B8" s="52" t="s">
        <v>36</v>
      </c>
      <c r="C8" s="112">
        <f>('[1]franchise MV seuil 1,4 SMIC'!B31+'[1]prél TE-TPSA au dessus 1,4SMIC'!T11)/1000000</f>
        <v>34.885081101269826</v>
      </c>
      <c r="D8" s="112">
        <f>('[1]franchise MV seuil 1,4 SMIC'!E31+'[1]prél TE-TPSA au dessus 1,4SMIC'!T9)/1000000</f>
        <v>3.7364608384231763</v>
      </c>
      <c r="E8" s="112">
        <f>C8*E4/C4</f>
        <v>0.9859507054994193</v>
      </c>
      <c r="F8" s="112">
        <f>('[1]Gér hosp-prél 1,4 SMIC-129'!R9+'[1]franchise MV seuil 1,4 SMIC'!F31)/1000000</f>
        <v>10.716534697929887</v>
      </c>
      <c r="G8" s="112">
        <f>('[1]Grce priv-prell 1,4 SMIC-129'!R9+'[1]franchise MV seuil 1,4 SMIC'!G31)/1000000</f>
        <v>13.249941602873236</v>
      </c>
      <c r="H8" s="112">
        <f>SUM(C8:G8)</f>
        <v>63.573968945995546</v>
      </c>
      <c r="I8" s="102"/>
      <c r="J8" s="102"/>
      <c r="K8" s="102"/>
      <c r="L8" s="102"/>
      <c r="M8" s="102"/>
      <c r="N8" s="102"/>
      <c r="O8" s="99"/>
      <c r="P8" s="99"/>
      <c r="Q8" s="99"/>
      <c r="R8" s="99"/>
      <c r="S8" s="99"/>
      <c r="T8" s="99"/>
    </row>
    <row r="9" spans="1:20" ht="39" customHeight="1">
      <c r="A9" s="113" t="s">
        <v>3</v>
      </c>
      <c r="B9" s="114" t="s">
        <v>4</v>
      </c>
      <c r="C9" s="115">
        <f aca="true" t="shared" si="0" ref="C9:H9">C7-C8</f>
        <v>215.43557213182922</v>
      </c>
      <c r="D9" s="115">
        <f t="shared" si="0"/>
        <v>106.284865712596</v>
      </c>
      <c r="E9" s="115">
        <f t="shared" si="0"/>
        <v>2.5514328531024524</v>
      </c>
      <c r="F9" s="115">
        <f t="shared" si="0"/>
        <v>68.25694177316615</v>
      </c>
      <c r="G9" s="115">
        <f t="shared" si="0"/>
        <v>22.393042956489303</v>
      </c>
      <c r="H9" s="115">
        <f t="shared" si="0"/>
        <v>414.9218554271831</v>
      </c>
      <c r="I9" s="102"/>
      <c r="J9" s="102"/>
      <c r="K9" s="102"/>
      <c r="L9" s="102"/>
      <c r="M9" s="102"/>
      <c r="N9" s="102"/>
      <c r="O9" s="99"/>
      <c r="P9" s="99"/>
      <c r="Q9" s="99"/>
      <c r="R9" s="99"/>
      <c r="S9" s="99"/>
      <c r="T9" s="99"/>
    </row>
    <row r="10" spans="1:20" s="1" customFormat="1" ht="47.25" customHeight="1">
      <c r="A10" s="113" t="s">
        <v>28</v>
      </c>
      <c r="B10" s="61" t="s">
        <v>29</v>
      </c>
      <c r="C10" s="116">
        <f>'[1]fiche budgétaire'!B34/1000000</f>
        <v>167.06162164835968</v>
      </c>
      <c r="D10" s="116">
        <f>'[1]fiche budgétaire'!D34/1000000</f>
        <v>148.56689563526012</v>
      </c>
      <c r="E10" s="116"/>
      <c r="F10" s="116">
        <f>'[1]fiche budgétaire'!F34/1000000</f>
        <v>52.02709120366538</v>
      </c>
      <c r="G10" s="116"/>
      <c r="H10" s="116">
        <f>SUM(C10:G10)</f>
        <v>367.6556084872851</v>
      </c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</row>
    <row r="11" spans="1:20" ht="51" customHeight="1" thickBot="1">
      <c r="A11" s="103" t="s">
        <v>5</v>
      </c>
      <c r="B11" s="119" t="s">
        <v>6</v>
      </c>
      <c r="C11" s="69">
        <f>C7-C10-C8</f>
        <v>48.37395048346955</v>
      </c>
      <c r="D11" s="69">
        <f>D7-D10-D8</f>
        <v>-42.28202992266413</v>
      </c>
      <c r="E11" s="69">
        <f>E7-E10-E8</f>
        <v>2.5514328531024524</v>
      </c>
      <c r="F11" s="69">
        <f>F7-F10-F8</f>
        <v>16.22985056950077</v>
      </c>
      <c r="G11" s="69">
        <f>G7-G10-G8</f>
        <v>22.393042956489303</v>
      </c>
      <c r="H11" s="69">
        <f>SUM(C11:G11)</f>
        <v>47.26624693989795</v>
      </c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</row>
    <row r="12" spans="1:20" s="124" customFormat="1" ht="39.75" customHeight="1">
      <c r="A12" s="120"/>
      <c r="B12" s="71"/>
      <c r="C12" s="72"/>
      <c r="D12" s="72"/>
      <c r="E12" s="72"/>
      <c r="F12" s="72"/>
      <c r="G12" s="72"/>
      <c r="H12" s="121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11">
    <pageSetUpPr fitToPage="1"/>
  </sheetPr>
  <dimension ref="A1:T12"/>
  <sheetViews>
    <sheetView zoomScale="75" zoomScaleNormal="75" workbookViewId="0" topLeftCell="A3">
      <selection activeCell="D7" sqref="D7"/>
    </sheetView>
  </sheetViews>
  <sheetFormatPr defaultColWidth="11.421875" defaultRowHeight="12.75"/>
  <cols>
    <col min="1" max="1" width="8.421875" style="1" customWidth="1"/>
    <col min="2" max="2" width="44.00390625" style="18" customWidth="1"/>
    <col min="3" max="3" width="17.7109375" style="18" customWidth="1"/>
    <col min="4" max="4" width="13.57421875" style="18" customWidth="1"/>
    <col min="5" max="5" width="14.28125" style="18" customWidth="1"/>
    <col min="6" max="6" width="14.7109375" style="18" customWidth="1"/>
    <col min="7" max="7" width="13.28125" style="18" customWidth="1"/>
    <col min="8" max="8" width="14.140625" style="18" customWidth="1"/>
    <col min="9" max="9" width="8.421875" style="18" bestFit="1" customWidth="1"/>
    <col min="10" max="16384" width="8.421875" style="18" customWidth="1"/>
  </cols>
  <sheetData>
    <row r="1" ht="18.75">
      <c r="A1" s="97" t="s">
        <v>49</v>
      </c>
    </row>
    <row r="2" ht="16.5" thickBot="1">
      <c r="A2" s="1" t="s">
        <v>55</v>
      </c>
    </row>
    <row r="3" spans="1:20" ht="50.25" customHeight="1" thickBot="1">
      <c r="A3" s="129" t="s">
        <v>60</v>
      </c>
      <c r="B3" s="2"/>
      <c r="C3" s="23" t="s">
        <v>16</v>
      </c>
      <c r="D3" s="23" t="s">
        <v>13</v>
      </c>
      <c r="E3" s="23" t="s">
        <v>17</v>
      </c>
      <c r="F3" s="23" t="s">
        <v>18</v>
      </c>
      <c r="G3" s="23" t="s">
        <v>14</v>
      </c>
      <c r="H3" s="98" t="s">
        <v>19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36" customHeight="1">
      <c r="A4" s="100" t="s">
        <v>20</v>
      </c>
      <c r="B4" s="101" t="s">
        <v>21</v>
      </c>
      <c r="C4" s="28">
        <f>'[2]fiche budgétaire'!B27</f>
        <v>184093.460208</v>
      </c>
      <c r="D4" s="28">
        <f>'[2]fiche budgétaire'!D27</f>
        <v>66437.865</v>
      </c>
      <c r="E4" s="28">
        <f>'[2]fiche budgétaire'!E27</f>
        <v>5203</v>
      </c>
      <c r="F4" s="28">
        <f>'[2]fiche budgétaire'!F27</f>
        <v>77000</v>
      </c>
      <c r="G4" s="28">
        <f>'[2]fiche budgétaire'!G27</f>
        <v>44000</v>
      </c>
      <c r="H4" s="28">
        <f>SUM(C4:G4)</f>
        <v>376734.325208</v>
      </c>
      <c r="I4" s="102"/>
      <c r="J4" s="102"/>
      <c r="K4" s="102"/>
      <c r="L4" s="102"/>
      <c r="M4" s="102"/>
      <c r="N4" s="102"/>
      <c r="O4" s="99"/>
      <c r="P4" s="99"/>
      <c r="Q4" s="99"/>
      <c r="R4" s="99"/>
      <c r="S4" s="99"/>
      <c r="T4" s="99"/>
    </row>
    <row r="5" spans="1:20" ht="45.75" customHeight="1" thickBot="1">
      <c r="A5" s="103" t="s">
        <v>22</v>
      </c>
      <c r="B5" s="104" t="s">
        <v>23</v>
      </c>
      <c r="C5" s="39">
        <f>'[2]fiche budgétaire'!B28</f>
        <v>176015.650104</v>
      </c>
      <c r="D5" s="39">
        <f>'[2]fiche budgétaire'!D28</f>
        <v>66076.4325</v>
      </c>
      <c r="E5" s="39">
        <f>'[2]fiche budgétaire'!E28</f>
        <v>5203</v>
      </c>
      <c r="F5" s="39">
        <f>'[2]fiche budgétaire'!F28</f>
        <v>73500</v>
      </c>
      <c r="G5" s="39">
        <f>'[2]fiche budgétaire'!G28</f>
        <v>42000</v>
      </c>
      <c r="H5" s="39">
        <f>SUM(C5:G5)</f>
        <v>362795.082604</v>
      </c>
      <c r="I5" s="102"/>
      <c r="J5" s="102"/>
      <c r="K5" s="102"/>
      <c r="L5" s="102"/>
      <c r="M5" s="102"/>
      <c r="N5" s="102"/>
      <c r="O5" s="99"/>
      <c r="P5" s="99"/>
      <c r="Q5" s="99"/>
      <c r="R5" s="99"/>
      <c r="S5" s="99"/>
      <c r="T5" s="99"/>
    </row>
    <row r="6" spans="1:20" ht="57.75" customHeight="1" thickBot="1">
      <c r="A6" s="105" t="s">
        <v>50</v>
      </c>
      <c r="B6" s="106" t="s">
        <v>27</v>
      </c>
      <c r="C6" s="107">
        <f>C7*1000000/C5/12</f>
        <v>127.44152215898684</v>
      </c>
      <c r="D6" s="107">
        <f>D7*1000000/D5/12</f>
        <v>149.20928196655152</v>
      </c>
      <c r="E6" s="107">
        <f>E7*1000000/E5/12</f>
        <v>60.924767093064276</v>
      </c>
      <c r="F6" s="107">
        <f>F7*1000000/F5/12</f>
        <v>96.2851847137738</v>
      </c>
      <c r="G6" s="107">
        <f>G7*1000000/G5/12</f>
        <v>77.14931722805743</v>
      </c>
      <c r="H6" s="108"/>
      <c r="I6" s="102"/>
      <c r="J6" s="102"/>
      <c r="K6" s="102"/>
      <c r="L6" s="102"/>
      <c r="M6" s="102"/>
      <c r="N6" s="102"/>
      <c r="O6" s="99"/>
      <c r="P6" s="99"/>
      <c r="Q6" s="99"/>
      <c r="R6" s="99"/>
      <c r="S6" s="99"/>
      <c r="T6" s="99"/>
    </row>
    <row r="7" spans="1:20" ht="51" customHeight="1" thickBot="1">
      <c r="A7" s="105" t="s">
        <v>0</v>
      </c>
      <c r="B7" s="109" t="s">
        <v>1</v>
      </c>
      <c r="C7" s="110">
        <f>'[2]TE-CEet TPSA- 157€'!S11/1000000</f>
        <v>269.1804284766887</v>
      </c>
      <c r="D7" s="110">
        <f>'[2]TE-CEet TPSA- 157€'!S9/1000000</f>
        <v>118.31060457883568</v>
      </c>
      <c r="E7" s="110">
        <f>C7*E4/C4/2</f>
        <v>3.803898758222561</v>
      </c>
      <c r="F7" s="110">
        <f>'[2]Gér hosp-157'!R9/1000000</f>
        <v>84.9235329175485</v>
      </c>
      <c r="G7" s="110">
        <f>'[2]Grce priv-abattement'!R9/1000000</f>
        <v>38.88325588294095</v>
      </c>
      <c r="H7" s="110">
        <f>SUM(C7:G7)</f>
        <v>515.1017206142363</v>
      </c>
      <c r="I7" s="102"/>
      <c r="J7" s="102"/>
      <c r="K7" s="102"/>
      <c r="L7" s="102"/>
      <c r="M7" s="102"/>
      <c r="N7" s="102"/>
      <c r="O7" s="99"/>
      <c r="P7" s="99"/>
      <c r="Q7" s="99"/>
      <c r="R7" s="99"/>
      <c r="S7" s="99"/>
      <c r="T7" s="99"/>
    </row>
    <row r="8" spans="1:20" ht="49.5" customHeight="1" thickBot="1">
      <c r="A8" s="111" t="s">
        <v>2</v>
      </c>
      <c r="B8" s="52" t="s">
        <v>37</v>
      </c>
      <c r="C8" s="112">
        <f>('[2]franchise MV seuil 1,4 SMIC'!B31+'[2]prél TE-TPSA au dessus 1,4SMIC'!T11)/1000000</f>
        <v>38.41506345770788</v>
      </c>
      <c r="D8" s="112">
        <f>('[2]franchise MV seuil 1,4 SMIC'!E31+'[2]prél TE-TPSA au dessus 1,4SMIC'!T9)/1000000</f>
        <v>4.115900676453213</v>
      </c>
      <c r="E8" s="112">
        <f>C8*E4/C4</f>
        <v>1.0857179551333587</v>
      </c>
      <c r="F8" s="112">
        <f>('[2]Gér hosp-prél 1,4 SMIC-147'!R9+'[2]franchise MV seuil 1,4 SMIC'!F31)/1000000</f>
        <v>11.797444407071255</v>
      </c>
      <c r="G8" s="112">
        <f>('[2]Grce priv-prell 1,4 SMIC-147'!R9+'[2]franchise MV seuil 1,4 SMIC'!G31)/1000000</f>
        <v>14.491208858596291</v>
      </c>
      <c r="H8" s="112">
        <f>SUM(C8:G8)</f>
        <v>69.905335354962</v>
      </c>
      <c r="I8" s="102"/>
      <c r="J8" s="102"/>
      <c r="K8" s="102"/>
      <c r="L8" s="102"/>
      <c r="M8" s="102"/>
      <c r="N8" s="102"/>
      <c r="O8" s="99"/>
      <c r="P8" s="99"/>
      <c r="Q8" s="99"/>
      <c r="R8" s="99"/>
      <c r="S8" s="99"/>
      <c r="T8" s="99"/>
    </row>
    <row r="9" spans="1:20" ht="39" customHeight="1">
      <c r="A9" s="113" t="s">
        <v>3</v>
      </c>
      <c r="B9" s="114" t="s">
        <v>4</v>
      </c>
      <c r="C9" s="115">
        <f aca="true" t="shared" si="0" ref="C9:H9">C7-C8</f>
        <v>230.76536501898082</v>
      </c>
      <c r="D9" s="115">
        <f t="shared" si="0"/>
        <v>114.19470390238247</v>
      </c>
      <c r="E9" s="115">
        <f t="shared" si="0"/>
        <v>2.7181808030892025</v>
      </c>
      <c r="F9" s="115">
        <f t="shared" si="0"/>
        <v>73.12608851047725</v>
      </c>
      <c r="G9" s="115">
        <f t="shared" si="0"/>
        <v>24.39204702434466</v>
      </c>
      <c r="H9" s="115">
        <f t="shared" si="0"/>
        <v>445.19638525927434</v>
      </c>
      <c r="I9" s="102"/>
      <c r="J9" s="102"/>
      <c r="K9" s="102"/>
      <c r="L9" s="102"/>
      <c r="M9" s="102"/>
      <c r="N9" s="102"/>
      <c r="O9" s="99"/>
      <c r="P9" s="99"/>
      <c r="Q9" s="99"/>
      <c r="R9" s="99"/>
      <c r="S9" s="99"/>
      <c r="T9" s="99"/>
    </row>
    <row r="10" spans="1:20" s="1" customFormat="1" ht="47.25" customHeight="1">
      <c r="A10" s="113" t="s">
        <v>28</v>
      </c>
      <c r="B10" s="61" t="s">
        <v>29</v>
      </c>
      <c r="C10" s="116">
        <f>'[2]fiche budgétaire'!B34/1000000</f>
        <v>167.06162164835968</v>
      </c>
      <c r="D10" s="116">
        <f>'[2]fiche budgétaire'!D34/1000000</f>
        <v>148.56689563526012</v>
      </c>
      <c r="E10" s="116"/>
      <c r="F10" s="116">
        <f>'[2]fiche budgétaire'!F34/1000000</f>
        <v>52.02709120366538</v>
      </c>
      <c r="G10" s="116"/>
      <c r="H10" s="116">
        <f>SUM(C10:G10)</f>
        <v>367.6556084872851</v>
      </c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</row>
    <row r="11" spans="1:20" ht="51" customHeight="1" thickBot="1">
      <c r="A11" s="103" t="s">
        <v>5</v>
      </c>
      <c r="B11" s="119" t="s">
        <v>6</v>
      </c>
      <c r="C11" s="69">
        <f>C7-C10-C8</f>
        <v>63.70374337062113</v>
      </c>
      <c r="D11" s="69">
        <f>D7-D10-D8</f>
        <v>-34.37219173287766</v>
      </c>
      <c r="E11" s="69">
        <f>E7-E10-E8</f>
        <v>2.7181808030892025</v>
      </c>
      <c r="F11" s="69">
        <f>F7-F10-F8</f>
        <v>21.098997306811867</v>
      </c>
      <c r="G11" s="69">
        <f>G7-G10-G8</f>
        <v>24.39204702434466</v>
      </c>
      <c r="H11" s="69">
        <f>SUM(C11:G11)</f>
        <v>77.5407767719892</v>
      </c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</row>
    <row r="12" spans="1:20" s="124" customFormat="1" ht="39.75" customHeight="1">
      <c r="A12" s="120"/>
      <c r="B12" s="71"/>
      <c r="C12" s="72"/>
      <c r="D12" s="72"/>
      <c r="E12" s="72"/>
      <c r="F12" s="72"/>
      <c r="G12" s="72"/>
      <c r="H12" s="121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Changer ce nom</cp:lastModifiedBy>
  <cp:lastPrinted>2003-04-23T09:24:33Z</cp:lastPrinted>
  <dcterms:created xsi:type="dcterms:W3CDTF">2003-04-09T15:27:56Z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